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2\10.계    약\2.계약\1.입찰\6.과천시청소년수련관 셔틀버스 운행 용역\8.기간변경 공고\2.공고\"/>
    </mc:Choice>
  </mc:AlternateContent>
  <bookViews>
    <workbookView xWindow="0" yWindow="0" windowWidth="28800" windowHeight="12255"/>
  </bookViews>
  <sheets>
    <sheet name="원가계산 총괄표" sheetId="9" r:id="rId1"/>
    <sheet name="원가계산서" sheetId="6" r:id="rId2"/>
    <sheet name="설계내역서" sheetId="2" r:id="rId3"/>
    <sheet name="노무임별단가" sheetId="3" r:id="rId4"/>
    <sheet name="기본급 산출" sheetId="10" r:id="rId5"/>
  </sheets>
  <definedNames>
    <definedName name="_xlnm.Print_Area" localSheetId="3">노무임별단가!$A$1:$I$7</definedName>
    <definedName name="_xlnm.Print_Area" localSheetId="2">설계내역서!$A$1:$J$38</definedName>
    <definedName name="_xlnm.Print_Area" localSheetId="0">'원가계산 총괄표'!$A$1:$E$32</definedName>
    <definedName name="_xlnm.Print_Area" localSheetId="1">원가계산서!$A$1:$I$31</definedName>
    <definedName name="_xlnm.Print_Titles" localSheetId="2">설계내역서!$A:$A</definedName>
    <definedName name="_xlnm.Print_Titles" localSheetId="1">원가계산서!$C:$C</definedName>
  </definedNames>
  <calcPr calcId="162913"/>
</workbook>
</file>

<file path=xl/calcChain.xml><?xml version="1.0" encoding="utf-8"?>
<calcChain xmlns="http://schemas.openxmlformats.org/spreadsheetml/2006/main">
  <c r="G8" i="2" l="1"/>
  <c r="J36" i="2" l="1"/>
  <c r="I19" i="6" l="1"/>
  <c r="B15" i="9" l="1"/>
  <c r="E16" i="9"/>
  <c r="E15" i="9"/>
  <c r="C16" i="9"/>
  <c r="C15" i="9"/>
  <c r="E20" i="9"/>
  <c r="E19" i="9"/>
  <c r="B20" i="9"/>
  <c r="B19" i="9"/>
  <c r="E18" i="9"/>
  <c r="F34" i="2"/>
  <c r="I34" i="2" s="1"/>
  <c r="F35" i="2"/>
  <c r="I35" i="2" s="1"/>
  <c r="H18" i="6"/>
  <c r="D19" i="9" s="1"/>
  <c r="H19" i="6"/>
  <c r="D20" i="9" s="1"/>
  <c r="G4" i="3" l="1"/>
  <c r="G5" i="3"/>
  <c r="F5" i="10" l="1"/>
  <c r="G5" i="10" s="1"/>
  <c r="C5" i="10"/>
  <c r="D5" i="10" s="1"/>
  <c r="F4" i="10"/>
  <c r="G4" i="10" s="1"/>
  <c r="E4" i="10"/>
  <c r="H4" i="10" s="1"/>
  <c r="I4" i="10" s="1"/>
  <c r="F4" i="3" s="1"/>
  <c r="C4" i="10"/>
  <c r="E5" i="10" l="1"/>
  <c r="H5" i="10" s="1"/>
  <c r="I5" i="10" s="1"/>
  <c r="F5" i="3" s="1"/>
  <c r="E22" i="9"/>
  <c r="C24" i="9"/>
  <c r="C23" i="9"/>
  <c r="C22" i="9"/>
  <c r="C21" i="9"/>
  <c r="E6" i="9"/>
  <c r="F37" i="2"/>
  <c r="I37" i="2" s="1"/>
  <c r="E23" i="6" l="1"/>
  <c r="E24" i="9" l="1"/>
  <c r="E21" i="9" l="1"/>
  <c r="E23" i="9"/>
  <c r="E5" i="9"/>
  <c r="E14" i="9"/>
  <c r="E13" i="9"/>
  <c r="E12" i="9"/>
  <c r="E11" i="9"/>
  <c r="E10" i="9"/>
  <c r="E9" i="9"/>
  <c r="E8" i="9"/>
  <c r="H20" i="6" l="1"/>
  <c r="I23" i="6"/>
  <c r="H16" i="6"/>
  <c r="D17" i="9" s="1"/>
  <c r="F32" i="2"/>
  <c r="D21" i="9" l="1"/>
  <c r="C14" i="2"/>
  <c r="C16" i="2"/>
  <c r="I32" i="2" l="1"/>
  <c r="F33" i="2"/>
  <c r="F36" i="2"/>
  <c r="I36" i="2" s="1"/>
  <c r="C17" i="2"/>
  <c r="F38" i="2" l="1"/>
  <c r="I33" i="2"/>
  <c r="D24" i="9"/>
  <c r="E6" i="2" l="1"/>
  <c r="G7" i="2"/>
  <c r="H7" i="2" s="1"/>
  <c r="G6" i="2"/>
  <c r="H6" i="2" s="1"/>
  <c r="H8" i="2" l="1"/>
  <c r="E7" i="2"/>
  <c r="G13" i="2" l="1"/>
  <c r="G14" i="2" s="1"/>
  <c r="H14" i="2" s="1"/>
  <c r="G16" i="2" s="1"/>
  <c r="H16" i="2" s="1"/>
  <c r="G19" i="2"/>
  <c r="H19" i="2" s="1"/>
  <c r="G15" i="2"/>
  <c r="H15" i="2" s="1"/>
  <c r="G18" i="2"/>
  <c r="H18" i="2" s="1"/>
  <c r="H9" i="2"/>
  <c r="F7" i="2"/>
  <c r="G17" i="2" l="1"/>
  <c r="H17" i="2" s="1"/>
  <c r="I7" i="2"/>
  <c r="D4" i="6" s="1"/>
  <c r="H4" i="6" s="1"/>
  <c r="E8" i="2"/>
  <c r="F8" i="2" l="1"/>
  <c r="I8" i="2" s="1"/>
  <c r="D5" i="6" s="1"/>
  <c r="F6" i="2" l="1"/>
  <c r="E15" i="2" l="1"/>
  <c r="E19" i="2"/>
  <c r="F19" i="2" s="1"/>
  <c r="E18" i="2"/>
  <c r="E13" i="2"/>
  <c r="I6" i="2"/>
  <c r="D3" i="6" s="1"/>
  <c r="H22" i="6"/>
  <c r="H21" i="6"/>
  <c r="D22" i="9" l="1"/>
  <c r="F18" i="2"/>
  <c r="D23" i="9"/>
  <c r="I19" i="2"/>
  <c r="I18" i="2" l="1"/>
  <c r="C13" i="2"/>
  <c r="H13" i="2" s="1"/>
  <c r="H20" i="2" s="1"/>
  <c r="H17" i="6" l="1"/>
  <c r="H5" i="6"/>
  <c r="E3" i="6"/>
  <c r="H3" i="6" s="1"/>
  <c r="D23" i="6"/>
  <c r="E30" i="2"/>
  <c r="E11" i="2"/>
  <c r="H26" i="2" l="1"/>
  <c r="H25" i="2"/>
  <c r="H23" i="6"/>
  <c r="D18" i="9"/>
  <c r="H27" i="2" l="1"/>
  <c r="D6" i="9"/>
  <c r="D13" i="6"/>
  <c r="H13" i="6" s="1"/>
  <c r="I38" i="2"/>
  <c r="D5" i="9"/>
  <c r="D4" i="9" l="1"/>
  <c r="D14" i="9"/>
  <c r="F13" i="2"/>
  <c r="I13" i="2" s="1"/>
  <c r="F9" i="2" l="1"/>
  <c r="I9" i="2" s="1"/>
  <c r="D7" i="6"/>
  <c r="H7" i="6" s="1"/>
  <c r="E17" i="2"/>
  <c r="F15" i="2"/>
  <c r="I15" i="2" s="1"/>
  <c r="D9" i="6" s="1"/>
  <c r="H9" i="6" s="1"/>
  <c r="E14" i="2"/>
  <c r="D12" i="6" l="1"/>
  <c r="D8" i="9"/>
  <c r="D10" i="9"/>
  <c r="F14" i="2"/>
  <c r="I14" i="2" s="1"/>
  <c r="D8" i="6" s="1"/>
  <c r="H8" i="6" s="1"/>
  <c r="F17" i="2"/>
  <c r="I17" i="2" s="1"/>
  <c r="H6" i="6"/>
  <c r="D7" i="9" s="1"/>
  <c r="H12" i="6" l="1"/>
  <c r="D13" i="9" s="1"/>
  <c r="D10" i="6"/>
  <c r="D9" i="9"/>
  <c r="E16" i="2"/>
  <c r="H10" i="6" l="1"/>
  <c r="F16" i="2"/>
  <c r="D11" i="9" l="1"/>
  <c r="F20" i="2"/>
  <c r="I16" i="2"/>
  <c r="D11" i="6" s="1"/>
  <c r="I20" i="2" l="1"/>
  <c r="H11" i="6"/>
  <c r="F25" i="2" l="1"/>
  <c r="F26" i="2"/>
  <c r="D12" i="9"/>
  <c r="I26" i="2" l="1"/>
  <c r="H15" i="6" s="1"/>
  <c r="D16" i="9" s="1"/>
  <c r="I25" i="2"/>
  <c r="H14" i="6" s="1"/>
  <c r="H24" i="6" l="1"/>
  <c r="F25" i="6" s="1"/>
  <c r="F26" i="6" s="1"/>
  <c r="D27" i="9" s="1"/>
  <c r="D15" i="9"/>
  <c r="F27" i="2"/>
  <c r="I27" i="2" s="1"/>
  <c r="D25" i="9" l="1"/>
  <c r="D26" i="9"/>
  <c r="F27" i="6"/>
  <c r="D28" i="9" s="1"/>
  <c r="F28" i="6" l="1"/>
  <c r="D29" i="9" l="1"/>
  <c r="F29" i="6"/>
  <c r="D30" i="9" l="1"/>
  <c r="D31" i="9" s="1"/>
  <c r="D32" i="9" s="1"/>
  <c r="F30" i="6"/>
  <c r="F31" i="6" s="1"/>
</calcChain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계산식: (((40시간+8시간)/7일)*365일)/12월
=209시간</t>
        </r>
      </text>
    </comment>
  </commentList>
</comments>
</file>

<file path=xl/sharedStrings.xml><?xml version="1.0" encoding="utf-8"?>
<sst xmlns="http://schemas.openxmlformats.org/spreadsheetml/2006/main" count="302" uniqueCount="211">
  <si>
    <t>임금채권보장보험</t>
    <phoneticPr fontId="2" type="noConversion"/>
  </si>
  <si>
    <t>비                    고</t>
    <phoneticPr fontId="2" type="noConversion"/>
  </si>
  <si>
    <t>단위</t>
    <phoneticPr fontId="2" type="noConversion"/>
  </si>
  <si>
    <t>[인   건   비]</t>
    <phoneticPr fontId="2" type="noConversion"/>
  </si>
  <si>
    <t>구           분</t>
    <phoneticPr fontId="2" type="noConversion"/>
  </si>
  <si>
    <t>산      출      근      거</t>
    <phoneticPr fontId="2" type="noConversion"/>
  </si>
  <si>
    <t>월/인당</t>
    <phoneticPr fontId="2" type="noConversion"/>
  </si>
  <si>
    <t>단  가</t>
    <phoneticPr fontId="2" type="noConversion"/>
  </si>
  <si>
    <t>금    액</t>
    <phoneticPr fontId="2" type="noConversion"/>
  </si>
  <si>
    <t>월</t>
    <phoneticPr fontId="2" type="noConversion"/>
  </si>
  <si>
    <t>hr</t>
    <phoneticPr fontId="2" type="noConversion"/>
  </si>
  <si>
    <t>일</t>
    <phoneticPr fontId="2" type="noConversion"/>
  </si>
  <si>
    <t>구                 분</t>
    <phoneticPr fontId="2" type="noConversion"/>
  </si>
  <si>
    <t>노인장기요양보험</t>
    <phoneticPr fontId="2" type="noConversion"/>
  </si>
  <si>
    <t>구             분</t>
    <phoneticPr fontId="2" type="noConversion"/>
  </si>
  <si>
    <t>단   가</t>
    <phoneticPr fontId="2" type="noConversion"/>
  </si>
  <si>
    <t>[경        비]</t>
    <phoneticPr fontId="2" type="noConversion"/>
  </si>
  <si>
    <t>수   량</t>
    <phoneticPr fontId="2" type="noConversion"/>
  </si>
  <si>
    <t>소계</t>
    <phoneticPr fontId="2" type="noConversion"/>
  </si>
  <si>
    <t>대</t>
    <phoneticPr fontId="2" type="noConversion"/>
  </si>
  <si>
    <t>1) 기    본     급</t>
    <phoneticPr fontId="2" type="noConversion"/>
  </si>
  <si>
    <t>수량</t>
    <phoneticPr fontId="2" type="noConversion"/>
  </si>
  <si>
    <t xml:space="preserve"> ① + ②</t>
    <phoneticPr fontId="2" type="noConversion"/>
  </si>
  <si>
    <t xml:space="preserve"> ⑦ 의 10%</t>
    <phoneticPr fontId="2" type="noConversion"/>
  </si>
  <si>
    <t xml:space="preserve"> ⑦ + ⑧</t>
    <phoneticPr fontId="2" type="noConversion"/>
  </si>
  <si>
    <t xml:space="preserve"> ③ + ④</t>
    <phoneticPr fontId="2" type="noConversion"/>
  </si>
  <si>
    <t>제
세
공
과
금</t>
    <phoneticPr fontId="2" type="noConversion"/>
  </si>
  <si>
    <t xml:space="preserve"> (⑤ - 재료비)의 10% 이내</t>
    <phoneticPr fontId="2" type="noConversion"/>
  </si>
  <si>
    <t>재
료
비</t>
    <phoneticPr fontId="2" type="noConversion"/>
  </si>
  <si>
    <t>③ 순        원          가</t>
    <phoneticPr fontId="2" type="noConversion"/>
  </si>
  <si>
    <t>④ 일   반   관   리   비</t>
    <phoneticPr fontId="2" type="noConversion"/>
  </si>
  <si>
    <t>⑤ 일반관리비 합산원가</t>
    <phoneticPr fontId="2" type="noConversion"/>
  </si>
  <si>
    <t>⑥ 이                     윤</t>
    <phoneticPr fontId="2" type="noConversion"/>
  </si>
  <si>
    <t>⑦ 이 윤  합  산   원 가</t>
    <phoneticPr fontId="2" type="noConversion"/>
  </si>
  <si>
    <t>⑧ 부   가   가   치   세</t>
    <phoneticPr fontId="2" type="noConversion"/>
  </si>
  <si>
    <t>총      용      역     비</t>
    <phoneticPr fontId="2" type="noConversion"/>
  </si>
  <si>
    <t>소     계</t>
    <phoneticPr fontId="2" type="noConversion"/>
  </si>
  <si>
    <t>-</t>
    <phoneticPr fontId="2" type="noConversion"/>
  </si>
  <si>
    <t>②
경
비</t>
    <phoneticPr fontId="2" type="noConversion"/>
  </si>
  <si>
    <t>기    본     급</t>
    <phoneticPr fontId="2" type="noConversion"/>
  </si>
  <si>
    <t>연장근로수당</t>
    <phoneticPr fontId="2" type="noConversion"/>
  </si>
  <si>
    <t>국   민    연    금</t>
    <phoneticPr fontId="2" type="noConversion"/>
  </si>
  <si>
    <t>건  강  보  험  료</t>
    <phoneticPr fontId="2" type="noConversion"/>
  </si>
  <si>
    <t>산  재  보  험  료</t>
    <phoneticPr fontId="2" type="noConversion"/>
  </si>
  <si>
    <t>고  용  보  험  료</t>
    <phoneticPr fontId="2" type="noConversion"/>
  </si>
  <si>
    <t>단위</t>
    <phoneticPr fontId="2" type="noConversion"/>
  </si>
  <si>
    <t>월</t>
    <phoneticPr fontId="2" type="noConversion"/>
  </si>
  <si>
    <t>구     분</t>
    <phoneticPr fontId="2" type="noConversion"/>
  </si>
  <si>
    <t>비    고</t>
    <phoneticPr fontId="2" type="noConversion"/>
  </si>
  <si>
    <t>감  가  상  각  비</t>
    <phoneticPr fontId="2" type="noConversion"/>
  </si>
  <si>
    <t>제
세
공
과
금</t>
    <phoneticPr fontId="2" type="noConversion"/>
  </si>
  <si>
    <t>대</t>
    <phoneticPr fontId="2" type="noConversion"/>
  </si>
  <si>
    <t>소계</t>
    <phoneticPr fontId="2" type="noConversion"/>
  </si>
  <si>
    <t>시급 x 1.5×연장시간</t>
    <phoneticPr fontId="2" type="noConversion"/>
  </si>
  <si>
    <t>일</t>
    <phoneticPr fontId="2" type="noConversion"/>
  </si>
  <si>
    <t>월</t>
    <phoneticPr fontId="2" type="noConversion"/>
  </si>
  <si>
    <t>석면피해구제분담금</t>
    <phoneticPr fontId="2" type="noConversion"/>
  </si>
  <si>
    <t>월</t>
    <phoneticPr fontId="2" type="noConversion"/>
  </si>
  <si>
    <t>월</t>
    <phoneticPr fontId="2" type="noConversion"/>
  </si>
  <si>
    <t>월</t>
    <phoneticPr fontId="2" type="noConversion"/>
  </si>
  <si>
    <t>국민연금법 제88조</t>
    <phoneticPr fontId="2" type="noConversion"/>
  </si>
  <si>
    <t>노인장기요양보험법 제9조</t>
    <phoneticPr fontId="2" type="noConversion"/>
  </si>
  <si>
    <t>임금채권보장보험법 제9조</t>
    <phoneticPr fontId="2" type="noConversion"/>
  </si>
  <si>
    <t>운   전   원</t>
    <phoneticPr fontId="2" type="noConversion"/>
  </si>
  <si>
    <t>대</t>
    <phoneticPr fontId="2" type="noConversion"/>
  </si>
  <si>
    <t>차량검사료</t>
    <phoneticPr fontId="2" type="noConversion"/>
  </si>
  <si>
    <t>2) 연장근로수당</t>
    <phoneticPr fontId="2" type="noConversion"/>
  </si>
  <si>
    <t xml:space="preserve">1월-21,5
2월-21,4
3월-23,4
4월-21,5
5월-22,4
6월-22,4
7월-21,5
8월-23,4
9월-22,4
10월-21,5
11월-22,4
12월-22,5
</t>
    <phoneticPr fontId="2" type="noConversion"/>
  </si>
  <si>
    <t>평일 261hr
토요일 53hr</t>
    <phoneticPr fontId="2" type="noConversion"/>
  </si>
  <si>
    <t>7) 석면피해구제분담금</t>
    <phoneticPr fontId="2" type="noConversion"/>
  </si>
  <si>
    <t>고용보험법 제6조(실업급여-0.8%, 직업능력개발사업(150인 미만 기업)-0.25%)</t>
    <phoneticPr fontId="2" type="noConversion"/>
  </si>
  <si>
    <t>국민건강보험법 제69,73조</t>
    <phoneticPr fontId="2" type="noConversion"/>
  </si>
  <si>
    <t>입력내용 구분</t>
  </si>
  <si>
    <t>입력값</t>
  </si>
  <si>
    <t>비고</t>
  </si>
  <si>
    <t>해당년도 최저임금</t>
  </si>
  <si>
    <t>구분</t>
  </si>
  <si>
    <t>시중노임단가 1일 임금</t>
  </si>
  <si>
    <t>시중노임단가 1시간 시급</t>
  </si>
  <si>
    <t>해당년도 최저임금(시급)</t>
  </si>
  <si>
    <t>낙찰율 적용 최저시급</t>
  </si>
  <si>
    <t>결정시급</t>
  </si>
  <si>
    <t>기본급(209시간)</t>
  </si>
  <si>
    <t>건  강  보  험  료</t>
    <phoneticPr fontId="2" type="noConversion"/>
  </si>
  <si>
    <t>월</t>
    <phoneticPr fontId="2" type="noConversion"/>
  </si>
  <si>
    <t>산  재  보  험  료</t>
    <phoneticPr fontId="2" type="noConversion"/>
  </si>
  <si>
    <t>고  용  보  험  료</t>
    <phoneticPr fontId="2" type="noConversion"/>
  </si>
  <si>
    <t>노인장기요양보험</t>
    <phoneticPr fontId="2" type="noConversion"/>
  </si>
  <si>
    <t>단가</t>
    <phoneticPr fontId="2" type="noConversion"/>
  </si>
  <si>
    <t>금액</t>
    <phoneticPr fontId="2" type="noConversion"/>
  </si>
  <si>
    <t>탑승 보호자</t>
    <phoneticPr fontId="2" type="noConversion"/>
  </si>
  <si>
    <t>합계</t>
    <phoneticPr fontId="2" type="noConversion"/>
  </si>
  <si>
    <t>⑥ 이                   윤</t>
    <phoneticPr fontId="2" type="noConversion"/>
  </si>
  <si>
    <t xml:space="preserve"> ⑤ + ⑥</t>
    <phoneticPr fontId="2" type="noConversion"/>
  </si>
  <si>
    <t>동승 보호자</t>
    <phoneticPr fontId="2" type="noConversion"/>
  </si>
  <si>
    <t>[경       비]</t>
    <phoneticPr fontId="2" type="noConversion"/>
  </si>
  <si>
    <t>건강보험료 x (12.27/100)</t>
    <phoneticPr fontId="2" type="noConversion"/>
  </si>
  <si>
    <t>대</t>
  </si>
  <si>
    <t>4) 노인장기요양보험</t>
    <phoneticPr fontId="2" type="noConversion"/>
  </si>
  <si>
    <t>5) 고  용  보  험  료</t>
    <phoneticPr fontId="2" type="noConversion"/>
  </si>
  <si>
    <t>6) 임금채권보장보험</t>
    <phoneticPr fontId="2" type="noConversion"/>
  </si>
  <si>
    <t xml:space="preserve"> </t>
    <phoneticPr fontId="2" type="noConversion"/>
  </si>
  <si>
    <t>1) 국   민    연    금</t>
    <phoneticPr fontId="2" type="noConversion"/>
  </si>
  <si>
    <t>2) 건  강  보  험  료</t>
    <phoneticPr fontId="2" type="noConversion"/>
  </si>
  <si>
    <t>3) 산  재  보  험  료</t>
    <phoneticPr fontId="2" type="noConversion"/>
  </si>
  <si>
    <t>유        류       비</t>
    <phoneticPr fontId="2" type="noConversion"/>
  </si>
  <si>
    <t>대</t>
    <phoneticPr fontId="2" type="noConversion"/>
  </si>
  <si>
    <t>연  차  수  당</t>
    <phoneticPr fontId="2" type="noConversion"/>
  </si>
  <si>
    <t>차량보험료</t>
    <phoneticPr fontId="2" type="noConversion"/>
  </si>
  <si>
    <t>(기본급+제수당) x (10.5/1000)</t>
    <phoneticPr fontId="2" type="noConversion"/>
  </si>
  <si>
    <t>(기본급+제수당) x (34.95/1000)</t>
    <phoneticPr fontId="2" type="noConversion"/>
  </si>
  <si>
    <t>(기본급+제수당) x (45/1000)</t>
    <phoneticPr fontId="2" type="noConversion"/>
  </si>
  <si>
    <t>(기본급+제수당) x (0.6/1000)</t>
    <phoneticPr fontId="2" type="noConversion"/>
  </si>
  <si>
    <t>(기본급+제수당) x (0.03/1000)</t>
    <phoneticPr fontId="2" type="noConversion"/>
  </si>
  <si>
    <t>②
경
비</t>
    <phoneticPr fontId="2" type="noConversion"/>
  </si>
  <si>
    <t>금   액(원)</t>
    <phoneticPr fontId="2" type="noConversion"/>
  </si>
  <si>
    <t>①
인
건
비</t>
    <phoneticPr fontId="2" type="noConversion"/>
  </si>
  <si>
    <t xml:space="preserve">복
리
후
생
비
</t>
    <phoneticPr fontId="2" type="noConversion"/>
  </si>
  <si>
    <t>3) 연  차  수  당</t>
    <phoneticPr fontId="2" type="noConversion"/>
  </si>
  <si>
    <t>석면피해구제법 제31조 10만분의 3</t>
    <phoneticPr fontId="2" type="noConversion"/>
  </si>
  <si>
    <t>직종코드 126</t>
    <phoneticPr fontId="2" type="noConversion"/>
  </si>
  <si>
    <t>직종코드 127</t>
    <phoneticPr fontId="2" type="noConversion"/>
  </si>
  <si>
    <t>직종</t>
    <phoneticPr fontId="2" type="noConversion"/>
  </si>
  <si>
    <t>(단위 :원)</t>
    <phoneticPr fontId="2" type="noConversion"/>
  </si>
  <si>
    <t>(단위: 원)</t>
    <phoneticPr fontId="2" type="noConversion"/>
  </si>
  <si>
    <t>합계금액(원)</t>
    <phoneticPr fontId="2" type="noConversion"/>
  </si>
  <si>
    <t>산출금액(원)</t>
    <phoneticPr fontId="2" type="noConversion"/>
  </si>
  <si>
    <t>직종별 기본급 산출</t>
    <phoneticPr fontId="2" type="noConversion"/>
  </si>
  <si>
    <t>1) 차 량 유 류 비</t>
    <phoneticPr fontId="2" type="noConversion"/>
  </si>
  <si>
    <t>2) 감 가 상 각 비</t>
    <phoneticPr fontId="2" type="noConversion"/>
  </si>
  <si>
    <t xml:space="preserve"> ③ 의 6% 이내</t>
    <phoneticPr fontId="2" type="noConversion"/>
  </si>
  <si>
    <t>2022년 셔틀버스운행 용역 설계내역서</t>
    <phoneticPr fontId="2" type="noConversion"/>
  </si>
  <si>
    <t>청소년수련관 셔틀버스운행 용역 원가계산서</t>
    <phoneticPr fontId="2" type="noConversion"/>
  </si>
  <si>
    <t>자 동 차 세</t>
    <phoneticPr fontId="2" type="noConversion"/>
  </si>
  <si>
    <t>엔 진 오 일</t>
    <phoneticPr fontId="2" type="noConversion"/>
  </si>
  <si>
    <t xml:space="preserve"> ⑦ + ⑧ (만원미만 절사)</t>
    <phoneticPr fontId="2" type="noConversion"/>
  </si>
  <si>
    <t>유       류       비</t>
    <phoneticPr fontId="2" type="noConversion"/>
  </si>
  <si>
    <t>직종</t>
  </si>
  <si>
    <t>순번</t>
  </si>
  <si>
    <t>기술자격 및 경력기준</t>
  </si>
  <si>
    <t>기본급</t>
  </si>
  <si>
    <t>시간당 단가
(기본급/209시간)</t>
  </si>
  <si>
    <t>일  급</t>
  </si>
  <si>
    <t>비  고</t>
  </si>
  <si>
    <t>운전원</t>
  </si>
  <si>
    <t>대형운전면허소지자</t>
  </si>
  <si>
    <t>동  승
보호자</t>
  </si>
  <si>
    <t>자격 제한 없음</t>
  </si>
  <si>
    <t>2022년도 하반기 외부특수차운전원 시중노임단가</t>
    <phoneticPr fontId="2" type="noConversion"/>
  </si>
  <si>
    <t>2022년도  하반기 단순노무종사원 시중노임단가</t>
    <phoneticPr fontId="2" type="noConversion"/>
  </si>
  <si>
    <t>2022년 하반기시중노임단가
외부특수차운전원</t>
    <phoneticPr fontId="2" type="noConversion"/>
  </si>
  <si>
    <t>2022년 하반기 시중노임단가 단순노무종사의 평균값
단순노무종사원</t>
    <phoneticPr fontId="2" type="noConversion"/>
  </si>
  <si>
    <t>(기본급+제수당) x (18/1000)</t>
    <phoneticPr fontId="2" type="noConversion"/>
  </si>
  <si>
    <t xml:space="preserve">경기도 버스 왕복요금 </t>
    <phoneticPr fontId="2" type="noConversion"/>
  </si>
  <si>
    <t>공사 기간제근로자 식비</t>
    <phoneticPr fontId="2" type="noConversion"/>
  </si>
  <si>
    <t>경기도 버스 왕복요금 1,500*2회 =3,000원</t>
  </si>
  <si>
    <t>경기도 버스 왕복요금 1,500*2회 =3,000원</t>
    <phoneticPr fontId="2" type="noConversion"/>
  </si>
  <si>
    <t>1) 식                 대</t>
    <phoneticPr fontId="2" type="noConversion"/>
  </si>
  <si>
    <t>2) 교  통  보  조  비</t>
    <phoneticPr fontId="2" type="noConversion"/>
  </si>
  <si>
    <t>운  전  원</t>
    <phoneticPr fontId="2" type="noConversion"/>
  </si>
  <si>
    <t>고용노동부 고시 제2021-95호 (2021. 12. 29.) 육상 및 수상운수업</t>
    <phoneticPr fontId="2" type="noConversion"/>
  </si>
  <si>
    <t>월/인당</t>
  </si>
  <si>
    <t>월</t>
    <phoneticPr fontId="2" type="noConversion"/>
  </si>
  <si>
    <t>기타복리후생비</t>
    <phoneticPr fontId="2" type="noConversion"/>
  </si>
  <si>
    <t>법정 복리후생비</t>
    <phoneticPr fontId="2" type="noConversion"/>
  </si>
  <si>
    <t>식                 대</t>
    <phoneticPr fontId="2" type="noConversion"/>
  </si>
  <si>
    <t>교  통  보  조  비</t>
    <phoneticPr fontId="2" type="noConversion"/>
  </si>
  <si>
    <t>차량운영유지비</t>
    <phoneticPr fontId="2" type="noConversion"/>
  </si>
  <si>
    <t>회</t>
    <phoneticPr fontId="2" type="noConversion"/>
  </si>
  <si>
    <t>법정복
리
후
생
비</t>
    <phoneticPr fontId="2" type="noConversion"/>
  </si>
  <si>
    <t>3)차량운영유지비</t>
    <phoneticPr fontId="2" type="noConversion"/>
  </si>
  <si>
    <t>4)세      차     비</t>
    <phoneticPr fontId="2" type="noConversion"/>
  </si>
  <si>
    <t>내용년수9년 정률법 80,340천원</t>
    <phoneticPr fontId="2" type="noConversion"/>
  </si>
  <si>
    <t xml:space="preserve">내용연수 9년(정률법에 의한 분개)-현대뉴카운티 어린이버스 장축 오토 80,340천원 </t>
    <phoneticPr fontId="2" type="noConversion"/>
  </si>
  <si>
    <t>2020년 서울시 시내버스 표준원가운동비용정산지침</t>
    <phoneticPr fontId="2" type="noConversion"/>
  </si>
  <si>
    <t>세      차      비</t>
    <phoneticPr fontId="2" type="noConversion"/>
  </si>
  <si>
    <t xml:space="preserve">시중노임단가 기준 </t>
    <phoneticPr fontId="2" type="noConversion"/>
  </si>
  <si>
    <t>5) 차 량 보 험 료</t>
    <phoneticPr fontId="2" type="noConversion"/>
  </si>
  <si>
    <t>6) 재료비(엔진오일등)</t>
    <phoneticPr fontId="2" type="noConversion"/>
  </si>
  <si>
    <t>4.345주* 88,000원 =월382,360원</t>
    <phoneticPr fontId="2" type="noConversion"/>
  </si>
  <si>
    <t>1대당 세차비 88,000원 *4.345주</t>
    <phoneticPr fontId="2" type="noConversion"/>
  </si>
  <si>
    <t xml:space="preserve">내용연수 9년(정률법)
-현대뉴카운티 어린이버스 장축 오토 80,340천원 </t>
    <phoneticPr fontId="2" type="noConversion"/>
  </si>
  <si>
    <t>타이어비 10.739원/km 월 20,833원
차량정비비 32.526원/km 월 63,100원</t>
    <phoneticPr fontId="2" type="noConversion"/>
  </si>
  <si>
    <t>타이어비 10.739원/km 월 20,833원
차량정비비 32.526원/km 월 63,100원</t>
    <phoneticPr fontId="2" type="noConversion"/>
  </si>
  <si>
    <t>2022년 청소년수련관 셔틀버스운행 용역 원가계산 총괄표</t>
    <phoneticPr fontId="2" type="noConversion"/>
  </si>
  <si>
    <t>용역인원: 2명, 용역기간: 3개월(10월~12월)</t>
    <phoneticPr fontId="2" type="noConversion"/>
  </si>
  <si>
    <r>
      <t xml:space="preserve">- 차량운영시간
</t>
    </r>
    <r>
      <rPr>
        <b/>
        <sz val="9"/>
        <color theme="1"/>
        <rFont val="맑은 고딕"/>
        <family val="3"/>
        <charset val="129"/>
        <scheme val="minor"/>
      </rPr>
      <t>1) 운영기간</t>
    </r>
    <r>
      <rPr>
        <sz val="9"/>
        <color theme="1"/>
        <rFont val="맑은 고딕"/>
        <family val="3"/>
        <charset val="129"/>
        <scheme val="minor"/>
      </rPr>
      <t xml:space="preserve">
   *운영기간: 2022년 10월 ~ 12월
    (월~금 13:00~21:00(7hr) / 토 09:00~17:00(5hr+초과2hr)
    -&gt; 1주간: 정규근무시간 40hr + 초과근무시간 2hr
</t>
    </r>
    <r>
      <rPr>
        <b/>
        <sz val="9"/>
        <color theme="1"/>
        <rFont val="맑은 고딕"/>
        <family val="3"/>
        <charset val="129"/>
        <scheme val="minor"/>
      </rPr>
      <t>2) 계량적 기간환산</t>
    </r>
    <r>
      <rPr>
        <sz val="9"/>
        <color theme="1"/>
        <rFont val="맑은 고딕"/>
        <family val="3"/>
        <charset val="129"/>
        <scheme val="minor"/>
      </rPr>
      <t xml:space="preserve">
   * 1년을 12개월, 365일로 정했을 때, 1년은 52.14주, 1개월은 4.345주로 환산함
</t>
    </r>
    <r>
      <rPr>
        <b/>
        <sz val="9"/>
        <color theme="1"/>
        <rFont val="맑은 고딕"/>
        <family val="3"/>
        <charset val="129"/>
        <scheme val="minor"/>
      </rPr>
      <t>3) 총 초과근무시간 산출</t>
    </r>
    <r>
      <rPr>
        <sz val="9"/>
        <color theme="1"/>
        <rFont val="맑은 고딕"/>
        <family val="3"/>
        <charset val="129"/>
        <scheme val="minor"/>
      </rPr>
      <t xml:space="preserve">
   * 운영기간: 4.345주*3개월=17.38주*2시간=34.76시간
</t>
    </r>
    <r>
      <rPr>
        <b/>
        <sz val="9"/>
        <color theme="1"/>
        <rFont val="맑은 고딕"/>
        <family val="3"/>
        <charset val="129"/>
        <scheme val="minor"/>
      </rPr>
      <t>4) 월간 초과근무시간</t>
    </r>
    <r>
      <rPr>
        <sz val="9"/>
        <color theme="1"/>
        <rFont val="맑은 고딕"/>
        <family val="3"/>
        <charset val="129"/>
        <scheme val="minor"/>
      </rPr>
      <t>: 34.76hr/3개월=8.69hr</t>
    </r>
    <phoneticPr fontId="2" type="noConversion"/>
  </si>
  <si>
    <t>일급 x 2일/3월</t>
    <phoneticPr fontId="2" type="noConversion"/>
  </si>
  <si>
    <t>공사 기간제근로자 식비  총 78일/3월 =26일</t>
    <phoneticPr fontId="2" type="noConversion"/>
  </si>
  <si>
    <t xml:space="preserve"> 1,940㎞/월 × 3월 = 7,760㎞ 
 7,760km÷ 10,000㎞/회 =0.582회</t>
    <phoneticPr fontId="2" type="noConversion"/>
  </si>
  <si>
    <t xml:space="preserve"> 7,760km÷10,000㎞/회 =0.582회</t>
    <phoneticPr fontId="2" type="noConversion"/>
  </si>
  <si>
    <t>익월부터 1일씩 2일</t>
    <phoneticPr fontId="2" type="noConversion"/>
  </si>
  <si>
    <t>(기본급+제수당) x (45/1000) × 3(월) × 1조(2명)</t>
    <phoneticPr fontId="2" type="noConversion"/>
  </si>
  <si>
    <t>(기본급+제수당) x (34.95/1000) × 3(월) × 1조(2명)</t>
    <phoneticPr fontId="2" type="noConversion"/>
  </si>
  <si>
    <t>(기본급+제수당) x (18/1000) × 3(월) × 1조(2명)</t>
    <phoneticPr fontId="2" type="noConversion"/>
  </si>
  <si>
    <t>(기본급+제수당) x (10.5/1000) × 3(월) × 1조(2명)</t>
    <phoneticPr fontId="2" type="noConversion"/>
  </si>
  <si>
    <t>건강보험료 x (12.27/100) × 3(월) × 1조(2명)</t>
    <phoneticPr fontId="2" type="noConversion"/>
  </si>
  <si>
    <t>(기본급+제수당) x (0.6/1000) × 3(월) × 1조(2명)</t>
    <phoneticPr fontId="2" type="noConversion"/>
  </si>
  <si>
    <t>(기본급+제수당) x (0.03/1000) × 3(월) × 1조(2명)</t>
    <phoneticPr fontId="2" type="noConversion"/>
  </si>
  <si>
    <t>공사 기간제근로자 식비  총 78일/3월 =26일</t>
    <phoneticPr fontId="2" type="noConversion"/>
  </si>
  <si>
    <t>3</t>
    <phoneticPr fontId="2" type="noConversion"/>
  </si>
  <si>
    <t>3(월)/12(월) × 검사료</t>
    <phoneticPr fontId="2" type="noConversion"/>
  </si>
  <si>
    <t>3(월)/12(월) × 자동차세</t>
    <phoneticPr fontId="2" type="noConversion"/>
  </si>
  <si>
    <t>3(월)/12(월) × 현대카운티 어린이버스 장축 
35세이상 운전자기준 보험료</t>
    <phoneticPr fontId="2" type="noConversion"/>
  </si>
  <si>
    <t>용역인원: 2명
용역기간: 10월~12월(3개월)</t>
    <phoneticPr fontId="2" type="noConversion"/>
  </si>
  <si>
    <t>월유류비 717,866원*3월</t>
    <phoneticPr fontId="2" type="noConversion"/>
  </si>
  <si>
    <t>주당운행거리=(9.5km×8회×5일)+(9.5km×7회)=446.5km  
월운행거리=4.345주×446.5km=1,940km  
유류비 =1,940km÷연비(5km/리터)×1,850.91원(9/5일 경기평균 경유 리터당 단가)</t>
    <phoneticPr fontId="2" type="noConversion"/>
  </si>
  <si>
    <t>1,940km÷5km/리터×1,850.91원×3개월</t>
    <phoneticPr fontId="2" type="noConversion"/>
  </si>
  <si>
    <t>연간보험료×3개월/12개월</t>
    <phoneticPr fontId="2" type="noConversion"/>
  </si>
  <si>
    <t>주당운행거리=(9.5km×8회×5일)+(9.5km×7회)=446.5km 
월운행거리=4.345주×446.5km=1,940km  
유류비 =1,940km÷연비(5km/리터)×1,850.91원(9/5일 경기평균 리터당 단가)원</t>
    <phoneticPr fontId="2" type="noConversion"/>
  </si>
  <si>
    <t>셔틀버스운행 용역 노무임별 단가(용역2명, 3개월)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</si>
</sst>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_-* #,##0.0000_-;\-* #,##0.0000_-;_-* &quot;-&quot;_-;_-@_-"/>
    <numFmt numFmtId="177" formatCode="#,##0_ "/>
    <numFmt numFmtId="178" formatCode="#,##0_);[Red]\(#,##0\)"/>
    <numFmt numFmtId="179" formatCode="[$₩-412]#,##0_);[Red]\([$₩-412]#,##0\)"/>
    <numFmt numFmtId="180" formatCode="0_);[Red]\(0\)"/>
    <numFmt numFmtId="181" formatCode="0.00_);[Red]\(0.00\)"/>
    <numFmt numFmtId="182" formatCode="_-* #,##0.000_-;\-* #,##0.000_-;_-* &quot;-&quot;???_-;_-@_-"/>
  </numFmts>
  <fonts count="3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rgb="FF0000FF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b/>
      <sz val="2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indexed="8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50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/>
    </xf>
    <xf numFmtId="41" fontId="14" fillId="0" borderId="53" xfId="0" applyNumberFormat="1" applyFont="1" applyBorder="1">
      <alignment vertical="center"/>
    </xf>
    <xf numFmtId="41" fontId="14" fillId="0" borderId="43" xfId="0" applyNumberFormat="1" applyFont="1" applyBorder="1">
      <alignment vertical="center"/>
    </xf>
    <xf numFmtId="41" fontId="14" fillId="0" borderId="51" xfId="0" applyNumberFormat="1" applyFont="1" applyBorder="1">
      <alignment vertical="center"/>
    </xf>
    <xf numFmtId="0" fontId="18" fillId="2" borderId="5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41" fontId="14" fillId="0" borderId="0" xfId="0" applyNumberFormat="1" applyFo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41" fontId="14" fillId="0" borderId="42" xfId="0" applyNumberFormat="1" applyFont="1" applyBorder="1">
      <alignment vertical="center"/>
    </xf>
    <xf numFmtId="41" fontId="14" fillId="0" borderId="41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center" vertical="center"/>
    </xf>
    <xf numFmtId="180" fontId="14" fillId="0" borderId="41" xfId="1" applyNumberFormat="1" applyFont="1" applyBorder="1" applyAlignment="1">
      <alignment horizontal="center" vertical="center"/>
    </xf>
    <xf numFmtId="41" fontId="14" fillId="0" borderId="41" xfId="1" applyFont="1" applyFill="1" applyBorder="1" applyAlignment="1">
      <alignment horizontal="center" vertical="center"/>
    </xf>
    <xf numFmtId="0" fontId="14" fillId="0" borderId="50" xfId="0" applyFont="1" applyBorder="1" applyAlignment="1">
      <alignment horizontal="left" vertical="center" wrapText="1"/>
    </xf>
    <xf numFmtId="41" fontId="14" fillId="0" borderId="38" xfId="1" applyFont="1" applyBorder="1">
      <alignment vertical="center"/>
    </xf>
    <xf numFmtId="0" fontId="14" fillId="0" borderId="38" xfId="1" applyNumberFormat="1" applyFont="1" applyBorder="1" applyAlignment="1">
      <alignment horizontal="center" vertical="center" wrapText="1"/>
    </xf>
    <xf numFmtId="41" fontId="14" fillId="0" borderId="38" xfId="1" applyFont="1" applyBorder="1" applyAlignment="1">
      <alignment horizontal="center" vertical="center"/>
    </xf>
    <xf numFmtId="177" fontId="14" fillId="0" borderId="38" xfId="1" applyNumberFormat="1" applyFont="1" applyBorder="1" applyAlignment="1">
      <alignment horizontal="center" vertical="center"/>
    </xf>
    <xf numFmtId="41" fontId="14" fillId="0" borderId="38" xfId="1" applyFont="1" applyFill="1" applyBorder="1" applyAlignment="1">
      <alignment horizontal="center" vertical="center"/>
    </xf>
    <xf numFmtId="0" fontId="14" fillId="0" borderId="43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center" vertical="center"/>
    </xf>
    <xf numFmtId="41" fontId="14" fillId="0" borderId="52" xfId="1" applyFont="1" applyBorder="1">
      <alignment vertical="center"/>
    </xf>
    <xf numFmtId="0" fontId="14" fillId="0" borderId="52" xfId="1" applyNumberFormat="1" applyFont="1" applyBorder="1" applyAlignment="1">
      <alignment horizontal="center" vertical="center"/>
    </xf>
    <xf numFmtId="176" fontId="14" fillId="0" borderId="52" xfId="1" applyNumberFormat="1" applyFont="1" applyBorder="1" applyAlignment="1">
      <alignment horizontal="center" vertical="center"/>
    </xf>
    <xf numFmtId="177" fontId="14" fillId="0" borderId="52" xfId="1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8" xfId="1" applyNumberFormat="1" applyFont="1" applyBorder="1" applyAlignment="1">
      <alignment horizontal="center" vertical="center"/>
    </xf>
    <xf numFmtId="176" fontId="14" fillId="0" borderId="38" xfId="1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41" fontId="14" fillId="0" borderId="40" xfId="1" applyFont="1" applyBorder="1">
      <alignment vertical="center"/>
    </xf>
    <xf numFmtId="0" fontId="14" fillId="0" borderId="40" xfId="1" applyNumberFormat="1" applyFont="1" applyBorder="1" applyAlignment="1">
      <alignment horizontal="center" vertical="center"/>
    </xf>
    <xf numFmtId="176" fontId="14" fillId="0" borderId="40" xfId="1" applyNumberFormat="1" applyFont="1" applyBorder="1" applyAlignment="1">
      <alignment horizontal="center" vertical="center"/>
    </xf>
    <xf numFmtId="177" fontId="14" fillId="0" borderId="40" xfId="1" applyNumberFormat="1" applyFont="1" applyBorder="1" applyAlignment="1">
      <alignment horizontal="center" vertical="center"/>
    </xf>
    <xf numFmtId="41" fontId="14" fillId="0" borderId="40" xfId="1" applyFont="1" applyFill="1" applyBorder="1" applyAlignment="1">
      <alignment horizontal="center" vertical="center"/>
    </xf>
    <xf numFmtId="41" fontId="14" fillId="0" borderId="14" xfId="1" applyFont="1" applyBorder="1">
      <alignment vertical="center"/>
    </xf>
    <xf numFmtId="0" fontId="14" fillId="0" borderId="14" xfId="1" applyNumberFormat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1" fontId="14" fillId="0" borderId="14" xfId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41" fontId="14" fillId="0" borderId="58" xfId="1" applyFont="1" applyBorder="1">
      <alignment vertical="center"/>
    </xf>
    <xf numFmtId="0" fontId="14" fillId="0" borderId="58" xfId="1" applyNumberFormat="1" applyFont="1" applyBorder="1" applyAlignment="1">
      <alignment horizontal="center" vertical="center"/>
    </xf>
    <xf numFmtId="176" fontId="14" fillId="0" borderId="58" xfId="1" applyNumberFormat="1" applyFont="1" applyBorder="1" applyAlignment="1">
      <alignment horizontal="center" vertical="center"/>
    </xf>
    <xf numFmtId="49" fontId="14" fillId="0" borderId="58" xfId="1" applyNumberFormat="1" applyFont="1" applyBorder="1" applyAlignment="1">
      <alignment horizontal="center" vertical="center"/>
    </xf>
    <xf numFmtId="41" fontId="14" fillId="0" borderId="58" xfId="1" applyFont="1" applyFill="1" applyBorder="1" applyAlignment="1">
      <alignment horizontal="center" vertical="center"/>
    </xf>
    <xf numFmtId="49" fontId="14" fillId="0" borderId="40" xfId="1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4" xfId="1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176" fontId="14" fillId="2" borderId="4" xfId="1" applyNumberFormat="1" applyFont="1" applyFill="1" applyBorder="1" applyAlignment="1">
      <alignment horizontal="center" vertical="center"/>
    </xf>
    <xf numFmtId="41" fontId="14" fillId="2" borderId="4" xfId="1" applyNumberFormat="1" applyFont="1" applyFill="1" applyBorder="1">
      <alignment vertical="center"/>
    </xf>
    <xf numFmtId="41" fontId="29" fillId="2" borderId="4" xfId="1" applyNumberFormat="1" applyFont="1" applyFill="1" applyBorder="1">
      <alignment vertical="center"/>
    </xf>
    <xf numFmtId="0" fontId="29" fillId="2" borderId="3" xfId="0" applyFont="1" applyFill="1" applyBorder="1" applyAlignment="1">
      <alignment vertical="center"/>
    </xf>
    <xf numFmtId="0" fontId="29" fillId="2" borderId="4" xfId="0" applyFont="1" applyFill="1" applyBorder="1" applyAlignment="1">
      <alignment horizontal="left" vertical="center"/>
    </xf>
    <xf numFmtId="0" fontId="29" fillId="2" borderId="4" xfId="1" applyNumberFormat="1" applyFont="1" applyFill="1" applyBorder="1" applyAlignment="1">
      <alignment horizontal="center" vertical="center"/>
    </xf>
    <xf numFmtId="176" fontId="29" fillId="2" borderId="4" xfId="1" applyNumberFormat="1" applyFont="1" applyFill="1" applyBorder="1" applyAlignment="1">
      <alignment horizontal="center" vertical="center"/>
    </xf>
    <xf numFmtId="41" fontId="14" fillId="2" borderId="21" xfId="1" applyNumberFormat="1" applyFont="1" applyFill="1" applyBorder="1">
      <alignment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horizontal="center" vertical="center"/>
    </xf>
    <xf numFmtId="41" fontId="14" fillId="2" borderId="11" xfId="1" applyNumberFormat="1" applyFont="1" applyFill="1" applyBorder="1">
      <alignment vertical="center"/>
    </xf>
    <xf numFmtId="41" fontId="14" fillId="2" borderId="26" xfId="1" applyNumberFormat="1" applyFont="1" applyFill="1" applyBorder="1">
      <alignment vertical="center"/>
    </xf>
    <xf numFmtId="41" fontId="29" fillId="2" borderId="21" xfId="1" applyNumberFormat="1" applyFont="1" applyFill="1" applyBorder="1">
      <alignment vertical="center"/>
    </xf>
    <xf numFmtId="0" fontId="19" fillId="0" borderId="14" xfId="0" applyFont="1" applyBorder="1" applyAlignment="1">
      <alignment horizontal="center" vertical="center" wrapText="1"/>
    </xf>
    <xf numFmtId="41" fontId="14" fillId="0" borderId="37" xfId="1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41" fontId="29" fillId="0" borderId="38" xfId="1" applyFont="1" applyBorder="1" applyAlignment="1">
      <alignment horizontal="center" vertical="center"/>
    </xf>
    <xf numFmtId="41" fontId="14" fillId="0" borderId="40" xfId="1" applyFont="1" applyBorder="1" applyAlignment="1">
      <alignment horizontal="center" vertical="center"/>
    </xf>
    <xf numFmtId="41" fontId="14" fillId="0" borderId="14" xfId="1" applyFont="1" applyBorder="1" applyAlignment="1">
      <alignment horizontal="center" vertical="center"/>
    </xf>
    <xf numFmtId="41" fontId="14" fillId="0" borderId="58" xfId="1" applyFont="1" applyBorder="1" applyAlignment="1">
      <alignment horizontal="center" vertical="center"/>
    </xf>
    <xf numFmtId="41" fontId="19" fillId="0" borderId="37" xfId="1" applyFont="1" applyBorder="1" applyAlignment="1">
      <alignment horizontal="center" vertical="center"/>
    </xf>
    <xf numFmtId="41" fontId="19" fillId="0" borderId="38" xfId="1" applyFont="1" applyBorder="1" applyAlignment="1">
      <alignment horizontal="center" vertical="center"/>
    </xf>
    <xf numFmtId="41" fontId="19" fillId="0" borderId="39" xfId="1" applyFont="1" applyBorder="1" applyAlignment="1">
      <alignment horizontal="center" vertical="center"/>
    </xf>
    <xf numFmtId="41" fontId="16" fillId="0" borderId="33" xfId="0" applyNumberFormat="1" applyFont="1" applyBorder="1" applyAlignment="1">
      <alignment horizontal="center" vertical="center"/>
    </xf>
    <xf numFmtId="41" fontId="16" fillId="0" borderId="34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41" fontId="31" fillId="0" borderId="14" xfId="0" applyNumberFormat="1" applyFont="1" applyBorder="1" applyAlignment="1">
      <alignment horizontal="center" vertical="center" wrapText="1"/>
    </xf>
    <xf numFmtId="41" fontId="31" fillId="0" borderId="14" xfId="0" applyNumberFormat="1" applyFont="1" applyBorder="1" applyAlignment="1">
      <alignment horizontal="center" vertical="center"/>
    </xf>
    <xf numFmtId="41" fontId="31" fillId="0" borderId="15" xfId="0" applyNumberFormat="1" applyFont="1" applyBorder="1" applyAlignment="1">
      <alignment horizontal="center" vertical="center" wrapText="1"/>
    </xf>
    <xf numFmtId="41" fontId="31" fillId="0" borderId="35" xfId="0" applyNumberFormat="1" applyFont="1" applyBorder="1" applyAlignment="1">
      <alignment horizontal="center" vertical="center" wrapText="1"/>
    </xf>
    <xf numFmtId="41" fontId="31" fillId="0" borderId="35" xfId="0" applyNumberFormat="1" applyFont="1" applyBorder="1" applyAlignment="1">
      <alignment horizontal="center" vertical="center"/>
    </xf>
    <xf numFmtId="41" fontId="31" fillId="0" borderId="35" xfId="0" applyNumberFormat="1" applyFont="1" applyBorder="1">
      <alignment vertical="center"/>
    </xf>
    <xf numFmtId="41" fontId="31" fillId="0" borderId="36" xfId="0" applyNumberFormat="1" applyFont="1" applyBorder="1" applyAlignment="1">
      <alignment horizontal="center" vertical="center" wrapText="1"/>
    </xf>
    <xf numFmtId="0" fontId="32" fillId="0" borderId="33" xfId="0" applyNumberFormat="1" applyFont="1" applyFill="1" applyBorder="1" applyAlignment="1">
      <alignment horizontal="center" vertical="center"/>
    </xf>
    <xf numFmtId="41" fontId="32" fillId="0" borderId="14" xfId="0" applyNumberFormat="1" applyFont="1" applyFill="1" applyBorder="1" applyAlignment="1">
      <alignment horizontal="center" vertical="center" wrapText="1"/>
    </xf>
    <xf numFmtId="41" fontId="32" fillId="0" borderId="14" xfId="1" applyFont="1" applyFill="1" applyBorder="1" applyAlignment="1">
      <alignment horizontal="center" vertical="center" wrapText="1"/>
    </xf>
    <xf numFmtId="41" fontId="32" fillId="0" borderId="14" xfId="1" applyFont="1" applyFill="1" applyBorder="1" applyAlignment="1">
      <alignment horizontal="center" vertical="center"/>
    </xf>
    <xf numFmtId="41" fontId="32" fillId="0" borderId="14" xfId="1" applyFont="1" applyFill="1" applyBorder="1">
      <alignment vertical="center"/>
    </xf>
    <xf numFmtId="41" fontId="33" fillId="0" borderId="15" xfId="1" applyFont="1" applyFill="1" applyBorder="1" applyAlignment="1">
      <alignment horizontal="center" vertical="center" wrapText="1"/>
    </xf>
    <xf numFmtId="0" fontId="32" fillId="0" borderId="34" xfId="0" applyNumberFormat="1" applyFont="1" applyFill="1" applyBorder="1" applyAlignment="1">
      <alignment horizontal="center" vertical="center"/>
    </xf>
    <xf numFmtId="41" fontId="32" fillId="0" borderId="35" xfId="0" applyNumberFormat="1" applyFont="1" applyFill="1" applyBorder="1" applyAlignment="1">
      <alignment horizontal="center" vertical="center" wrapText="1"/>
    </xf>
    <xf numFmtId="41" fontId="32" fillId="0" borderId="35" xfId="1" applyFont="1" applyFill="1" applyBorder="1" applyAlignment="1">
      <alignment horizontal="center" vertical="center" wrapText="1"/>
    </xf>
    <xf numFmtId="41" fontId="32" fillId="0" borderId="35" xfId="1" applyFont="1" applyFill="1" applyBorder="1" applyAlignment="1">
      <alignment horizontal="center" vertical="center"/>
    </xf>
    <xf numFmtId="41" fontId="32" fillId="0" borderId="35" xfId="1" applyNumberFormat="1" applyFont="1" applyFill="1" applyBorder="1">
      <alignment vertical="center"/>
    </xf>
    <xf numFmtId="41" fontId="32" fillId="0" borderId="35" xfId="1" applyFont="1" applyFill="1" applyBorder="1">
      <alignment vertical="center"/>
    </xf>
    <xf numFmtId="41" fontId="33" fillId="0" borderId="36" xfId="1" applyFont="1" applyFill="1" applyBorder="1" applyAlignment="1">
      <alignment horizontal="center" vertical="center" wrapText="1"/>
    </xf>
    <xf numFmtId="41" fontId="12" fillId="0" borderId="14" xfId="1" applyFont="1" applyBorder="1" applyAlignment="1">
      <alignment horizontal="center" vertical="center"/>
    </xf>
    <xf numFmtId="41" fontId="12" fillId="0" borderId="35" xfId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41" fontId="16" fillId="0" borderId="0" xfId="0" applyNumberFormat="1" applyFont="1" applyAlignment="1">
      <alignment horizontal="right" vertical="center"/>
    </xf>
    <xf numFmtId="41" fontId="31" fillId="0" borderId="14" xfId="0" applyNumberFormat="1" applyFont="1" applyBorder="1" applyAlignment="1">
      <alignment vertical="center" wrapText="1"/>
    </xf>
    <xf numFmtId="41" fontId="31" fillId="0" borderId="35" xfId="0" applyNumberFormat="1" applyFont="1" applyBorder="1" applyAlignment="1">
      <alignment vertical="center" wrapText="1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41" fontId="19" fillId="4" borderId="27" xfId="1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left" vertical="center"/>
    </xf>
    <xf numFmtId="0" fontId="20" fillId="4" borderId="60" xfId="0" applyFont="1" applyFill="1" applyBorder="1" applyAlignment="1">
      <alignment horizontal="center" vertical="center"/>
    </xf>
    <xf numFmtId="41" fontId="19" fillId="3" borderId="47" xfId="1" applyFont="1" applyFill="1" applyBorder="1" applyAlignment="1">
      <alignment horizontal="center" vertical="center"/>
    </xf>
    <xf numFmtId="41" fontId="14" fillId="3" borderId="48" xfId="0" applyNumberFormat="1" applyFont="1" applyFill="1" applyBorder="1">
      <alignment vertical="center"/>
    </xf>
    <xf numFmtId="41" fontId="14" fillId="0" borderId="5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29" fillId="0" borderId="3" xfId="0" applyFont="1" applyFill="1" applyBorder="1" applyAlignment="1">
      <alignment vertical="center"/>
    </xf>
    <xf numFmtId="0" fontId="29" fillId="0" borderId="4" xfId="0" applyFont="1" applyFill="1" applyBorder="1" applyAlignment="1">
      <alignment horizontal="left" vertical="center"/>
    </xf>
    <xf numFmtId="0" fontId="29" fillId="0" borderId="4" xfId="1" applyNumberFormat="1" applyFont="1" applyFill="1" applyBorder="1" applyAlignment="1">
      <alignment horizontal="center" vertical="center"/>
    </xf>
    <xf numFmtId="176" fontId="29" fillId="0" borderId="4" xfId="1" applyNumberFormat="1" applyFont="1" applyFill="1" applyBorder="1" applyAlignment="1">
      <alignment horizontal="center" vertical="center"/>
    </xf>
    <xf numFmtId="41" fontId="29" fillId="0" borderId="4" xfId="1" applyNumberFormat="1" applyFont="1" applyFill="1" applyBorder="1">
      <alignment vertical="center"/>
    </xf>
    <xf numFmtId="41" fontId="29" fillId="0" borderId="21" xfId="1" applyNumberFormat="1" applyFont="1" applyFill="1" applyBorder="1">
      <alignment vertical="center"/>
    </xf>
    <xf numFmtId="0" fontId="27" fillId="0" borderId="5" xfId="0" applyFont="1" applyFill="1" applyBorder="1" applyAlignment="1">
      <alignment horizontal="left" vertical="center"/>
    </xf>
    <xf numFmtId="41" fontId="14" fillId="0" borderId="43" xfId="0" applyNumberFormat="1" applyFont="1" applyFill="1" applyBorder="1">
      <alignment vertical="center"/>
    </xf>
    <xf numFmtId="0" fontId="15" fillId="3" borderId="1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41" fontId="15" fillId="4" borderId="47" xfId="1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left" vertical="center"/>
    </xf>
    <xf numFmtId="41" fontId="15" fillId="4" borderId="13" xfId="0" applyNumberFormat="1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41" fontId="14" fillId="4" borderId="7" xfId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8" xfId="1" applyNumberFormat="1" applyFont="1" applyFill="1" applyBorder="1" applyAlignment="1">
      <alignment horizontal="center" vertical="center"/>
    </xf>
    <xf numFmtId="41" fontId="14" fillId="3" borderId="8" xfId="1" applyFont="1" applyFill="1" applyBorder="1" applyAlignment="1">
      <alignment horizontal="center" vertical="center"/>
    </xf>
    <xf numFmtId="41" fontId="14" fillId="3" borderId="8" xfId="1" applyFont="1" applyFill="1" applyBorder="1">
      <alignment vertical="center"/>
    </xf>
    <xf numFmtId="41" fontId="19" fillId="3" borderId="8" xfId="1" applyFont="1" applyFill="1" applyBorder="1">
      <alignment vertical="center"/>
    </xf>
    <xf numFmtId="41" fontId="19" fillId="3" borderId="22" xfId="1" applyFont="1" applyFill="1" applyBorder="1">
      <alignment vertical="center"/>
    </xf>
    <xf numFmtId="0" fontId="18" fillId="3" borderId="9" xfId="0" applyFont="1" applyFill="1" applyBorder="1">
      <alignment vertical="center"/>
    </xf>
    <xf numFmtId="0" fontId="18" fillId="4" borderId="1" xfId="0" applyFont="1" applyFill="1" applyBorder="1" applyAlignment="1">
      <alignment horizontal="left" vertical="center"/>
    </xf>
    <xf numFmtId="0" fontId="17" fillId="4" borderId="1" xfId="1" applyNumberFormat="1" applyFont="1" applyFill="1" applyBorder="1" applyAlignment="1">
      <alignment horizontal="center" vertical="center"/>
    </xf>
    <xf numFmtId="41" fontId="17" fillId="4" borderId="1" xfId="1" applyFont="1" applyFill="1" applyBorder="1" applyAlignment="1">
      <alignment horizontal="center" vertical="center"/>
    </xf>
    <xf numFmtId="41" fontId="18" fillId="4" borderId="1" xfId="1" applyFont="1" applyFill="1" applyBorder="1">
      <alignment vertical="center"/>
    </xf>
    <xf numFmtId="41" fontId="18" fillId="4" borderId="20" xfId="1" applyFont="1" applyFill="1" applyBorder="1">
      <alignment vertical="center"/>
    </xf>
    <xf numFmtId="0" fontId="18" fillId="4" borderId="2" xfId="0" applyFont="1" applyFill="1" applyBorder="1">
      <alignment vertical="center"/>
    </xf>
    <xf numFmtId="0" fontId="18" fillId="4" borderId="5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8" xfId="0" applyNumberFormat="1" applyFont="1" applyFill="1" applyBorder="1" applyAlignment="1">
      <alignment horizontal="center" vertical="center"/>
    </xf>
    <xf numFmtId="41" fontId="19" fillId="3" borderId="8" xfId="1" applyNumberFormat="1" applyFont="1" applyFill="1" applyBorder="1">
      <alignment vertical="center"/>
    </xf>
    <xf numFmtId="41" fontId="19" fillId="3" borderId="22" xfId="1" applyNumberFormat="1" applyFont="1" applyFill="1" applyBorder="1">
      <alignment vertical="center"/>
    </xf>
    <xf numFmtId="0" fontId="17" fillId="3" borderId="9" xfId="0" applyFont="1" applyFill="1" applyBorder="1">
      <alignment vertical="center"/>
    </xf>
    <xf numFmtId="41" fontId="15" fillId="3" borderId="30" xfId="0" applyNumberFormat="1" applyFont="1" applyFill="1" applyBorder="1" applyAlignment="1">
      <alignment horizontal="center" vertical="center"/>
    </xf>
    <xf numFmtId="41" fontId="15" fillId="3" borderId="31" xfId="0" applyNumberFormat="1" applyFont="1" applyFill="1" applyBorder="1" applyAlignment="1">
      <alignment horizontal="center" vertical="center"/>
    </xf>
    <xf numFmtId="41" fontId="21" fillId="3" borderId="31" xfId="0" applyNumberFormat="1" applyFont="1" applyFill="1" applyBorder="1" applyAlignment="1">
      <alignment horizontal="center" vertical="center"/>
    </xf>
    <xf numFmtId="41" fontId="21" fillId="3" borderId="31" xfId="0" applyNumberFormat="1" applyFont="1" applyFill="1" applyBorder="1" applyAlignment="1">
      <alignment horizontal="center" vertical="center" wrapText="1"/>
    </xf>
    <xf numFmtId="41" fontId="21" fillId="3" borderId="32" xfId="0" applyNumberFormat="1" applyFont="1" applyFill="1" applyBorder="1" applyAlignment="1">
      <alignment horizontal="center" vertical="center"/>
    </xf>
    <xf numFmtId="0" fontId="33" fillId="5" borderId="30" xfId="0" applyNumberFormat="1" applyFont="1" applyFill="1" applyBorder="1" applyAlignment="1">
      <alignment horizontal="center" vertical="center"/>
    </xf>
    <xf numFmtId="41" fontId="33" fillId="5" borderId="31" xfId="0" applyNumberFormat="1" applyFont="1" applyFill="1" applyBorder="1" applyAlignment="1">
      <alignment horizontal="center" vertical="center"/>
    </xf>
    <xf numFmtId="41" fontId="33" fillId="5" borderId="31" xfId="0" applyNumberFormat="1" applyFont="1" applyFill="1" applyBorder="1" applyAlignment="1">
      <alignment horizontal="center" vertical="center" wrapText="1"/>
    </xf>
    <xf numFmtId="41" fontId="33" fillId="5" borderId="32" xfId="0" applyNumberFormat="1" applyFont="1" applyFill="1" applyBorder="1" applyAlignment="1">
      <alignment horizontal="center" vertical="center" wrapText="1"/>
    </xf>
    <xf numFmtId="0" fontId="15" fillId="4" borderId="62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4" fillId="4" borderId="7" xfId="1" applyNumberFormat="1" applyFont="1" applyFill="1" applyBorder="1" applyAlignment="1">
      <alignment horizontal="center" vertical="center"/>
    </xf>
    <xf numFmtId="41" fontId="14" fillId="4" borderId="7" xfId="1" applyFont="1" applyFill="1" applyBorder="1">
      <alignment vertical="center"/>
    </xf>
    <xf numFmtId="41" fontId="14" fillId="4" borderId="63" xfId="1" applyFont="1" applyFill="1" applyBorder="1">
      <alignment vertical="center"/>
    </xf>
    <xf numFmtId="0" fontId="18" fillId="4" borderId="64" xfId="0" applyFont="1" applyFill="1" applyBorder="1">
      <alignment vertical="center"/>
    </xf>
    <xf numFmtId="0" fontId="14" fillId="0" borderId="58" xfId="0" applyFont="1" applyBorder="1" applyAlignment="1">
      <alignment horizontal="center" vertical="distributed"/>
    </xf>
    <xf numFmtId="0" fontId="14" fillId="0" borderId="40" xfId="0" applyFont="1" applyBorder="1" applyAlignment="1">
      <alignment horizontal="center" vertical="distributed"/>
    </xf>
    <xf numFmtId="0" fontId="14" fillId="0" borderId="14" xfId="0" applyFont="1" applyBorder="1" applyAlignment="1">
      <alignment horizontal="center" vertical="distributed"/>
    </xf>
    <xf numFmtId="0" fontId="14" fillId="2" borderId="40" xfId="1" applyNumberFormat="1" applyFont="1" applyFill="1" applyBorder="1" applyAlignment="1">
      <alignment horizontal="center" vertical="center"/>
    </xf>
    <xf numFmtId="0" fontId="14" fillId="0" borderId="44" xfId="0" applyFont="1" applyBorder="1" applyAlignment="1">
      <alignment horizontal="left" vertical="center"/>
    </xf>
    <xf numFmtId="41" fontId="29" fillId="0" borderId="14" xfId="1" applyFont="1" applyBorder="1">
      <alignment vertical="center"/>
    </xf>
    <xf numFmtId="177" fontId="31" fillId="0" borderId="14" xfId="0" applyNumberFormat="1" applyFont="1" applyBorder="1" applyAlignment="1">
      <alignment horizontal="center" vertical="center"/>
    </xf>
    <xf numFmtId="177" fontId="31" fillId="0" borderId="35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left" vertical="center"/>
    </xf>
    <xf numFmtId="0" fontId="14" fillId="0" borderId="65" xfId="1" applyNumberFormat="1" applyFont="1" applyFill="1" applyBorder="1" applyAlignment="1">
      <alignment horizontal="center" vertical="center"/>
    </xf>
    <xf numFmtId="41" fontId="14" fillId="0" borderId="65" xfId="1" applyFont="1" applyFill="1" applyBorder="1" applyAlignment="1">
      <alignment horizontal="center" vertical="center"/>
    </xf>
    <xf numFmtId="41" fontId="14" fillId="0" borderId="65" xfId="1" applyFont="1" applyFill="1" applyBorder="1">
      <alignment vertical="center"/>
    </xf>
    <xf numFmtId="41" fontId="19" fillId="0" borderId="65" xfId="1" applyFont="1" applyFill="1" applyBorder="1">
      <alignment vertical="center"/>
    </xf>
    <xf numFmtId="0" fontId="18" fillId="0" borderId="65" xfId="0" applyFont="1" applyFill="1" applyBorder="1">
      <alignment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1" applyNumberFormat="1" applyFont="1" applyFill="1" applyBorder="1" applyAlignment="1">
      <alignment horizontal="center" vertical="center"/>
    </xf>
    <xf numFmtId="41" fontId="14" fillId="4" borderId="1" xfId="1" applyFont="1" applyFill="1" applyBorder="1" applyAlignment="1">
      <alignment horizontal="center" vertical="center"/>
    </xf>
    <xf numFmtId="41" fontId="14" fillId="4" borderId="1" xfId="1" applyFont="1" applyFill="1" applyBorder="1">
      <alignment vertical="center"/>
    </xf>
    <xf numFmtId="41" fontId="14" fillId="4" borderId="20" xfId="1" applyFont="1" applyFill="1" applyBorder="1">
      <alignment vertical="center"/>
    </xf>
    <xf numFmtId="41" fontId="3" fillId="0" borderId="0" xfId="1" applyFont="1" applyAlignment="1">
      <alignment horizontal="center" vertical="center"/>
    </xf>
    <xf numFmtId="41" fontId="3" fillId="0" borderId="0" xfId="1" applyFont="1">
      <alignment vertical="center"/>
    </xf>
    <xf numFmtId="182" fontId="3" fillId="0" borderId="0" xfId="1" applyNumberFormat="1" applyFont="1" applyAlignment="1">
      <alignment horizontal="center" vertical="center"/>
    </xf>
    <xf numFmtId="41" fontId="34" fillId="2" borderId="21" xfId="1" applyNumberFormat="1" applyFont="1" applyFill="1" applyBorder="1">
      <alignment vertical="center"/>
    </xf>
    <xf numFmtId="0" fontId="14" fillId="0" borderId="66" xfId="0" applyFont="1" applyBorder="1" applyAlignment="1">
      <alignment horizontal="center" vertical="center"/>
    </xf>
    <xf numFmtId="41" fontId="14" fillId="0" borderId="27" xfId="1" applyFont="1" applyBorder="1">
      <alignment vertical="center"/>
    </xf>
    <xf numFmtId="0" fontId="14" fillId="0" borderId="27" xfId="1" applyNumberFormat="1" applyFont="1" applyBorder="1" applyAlignment="1">
      <alignment horizontal="center" vertical="center"/>
    </xf>
    <xf numFmtId="176" fontId="14" fillId="0" borderId="27" xfId="1" applyNumberFormat="1" applyFont="1" applyBorder="1" applyAlignment="1">
      <alignment horizontal="center" vertical="center"/>
    </xf>
    <xf numFmtId="177" fontId="14" fillId="0" borderId="27" xfId="1" applyNumberFormat="1" applyFont="1" applyBorder="1" applyAlignment="1">
      <alignment horizontal="center" vertical="center"/>
    </xf>
    <xf numFmtId="41" fontId="14" fillId="0" borderId="27" xfId="1" applyFont="1" applyFill="1" applyBorder="1" applyAlignment="1">
      <alignment horizontal="center" vertical="center"/>
    </xf>
    <xf numFmtId="41" fontId="14" fillId="0" borderId="57" xfId="1" applyFont="1" applyBorder="1">
      <alignment vertical="center"/>
    </xf>
    <xf numFmtId="0" fontId="14" fillId="0" borderId="57" xfId="1" applyNumberFormat="1" applyFont="1" applyBorder="1" applyAlignment="1">
      <alignment horizontal="center" vertical="center"/>
    </xf>
    <xf numFmtId="176" fontId="14" fillId="0" borderId="57" xfId="1" applyNumberFormat="1" applyFont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41" fontId="14" fillId="0" borderId="57" xfId="1" applyFont="1" applyFill="1" applyBorder="1" applyAlignment="1">
      <alignment horizontal="center" vertical="center"/>
    </xf>
    <xf numFmtId="0" fontId="18" fillId="0" borderId="67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29" fillId="2" borderId="10" xfId="0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left" vertical="center"/>
    </xf>
    <xf numFmtId="0" fontId="29" fillId="2" borderId="11" xfId="1" applyNumberFormat="1" applyFont="1" applyFill="1" applyBorder="1" applyAlignment="1">
      <alignment horizontal="center" vertical="center"/>
    </xf>
    <xf numFmtId="176" fontId="29" fillId="2" borderId="11" xfId="1" applyNumberFormat="1" applyFont="1" applyFill="1" applyBorder="1" applyAlignment="1">
      <alignment horizontal="center" vertical="center"/>
    </xf>
    <xf numFmtId="41" fontId="29" fillId="2" borderId="11" xfId="1" applyNumberFormat="1" applyFont="1" applyFill="1" applyBorder="1">
      <alignment vertical="center"/>
    </xf>
    <xf numFmtId="41" fontId="29" fillId="2" borderId="26" xfId="1" applyNumberFormat="1" applyFont="1" applyFill="1" applyBorder="1">
      <alignment vertical="center"/>
    </xf>
    <xf numFmtId="0" fontId="29" fillId="2" borderId="3" xfId="0" applyFont="1" applyFill="1" applyBorder="1" applyAlignment="1">
      <alignment horizontal="left" vertical="center"/>
    </xf>
    <xf numFmtId="181" fontId="29" fillId="2" borderId="4" xfId="1" applyNumberFormat="1" applyFont="1" applyFill="1" applyBorder="1" applyAlignment="1">
      <alignment horizontal="center" vertical="center"/>
    </xf>
    <xf numFmtId="41" fontId="29" fillId="0" borderId="57" xfId="1" applyFont="1" applyBorder="1">
      <alignment vertical="center"/>
    </xf>
    <xf numFmtId="0" fontId="29" fillId="0" borderId="57" xfId="1" applyNumberFormat="1" applyFont="1" applyBorder="1" applyAlignment="1">
      <alignment horizontal="center" vertical="center"/>
    </xf>
    <xf numFmtId="176" fontId="29" fillId="0" borderId="57" xfId="1" applyNumberFormat="1" applyFont="1" applyBorder="1" applyAlignment="1">
      <alignment horizontal="center" vertical="center"/>
    </xf>
    <xf numFmtId="49" fontId="29" fillId="0" borderId="57" xfId="1" applyNumberFormat="1" applyFont="1" applyBorder="1" applyAlignment="1">
      <alignment horizontal="center" vertical="center"/>
    </xf>
    <xf numFmtId="41" fontId="29" fillId="0" borderId="57" xfId="1" applyFont="1" applyFill="1" applyBorder="1" applyAlignment="1">
      <alignment horizontal="center" vertical="center"/>
    </xf>
    <xf numFmtId="0" fontId="27" fillId="0" borderId="67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center" vertical="distributed"/>
    </xf>
    <xf numFmtId="41" fontId="29" fillId="0" borderId="37" xfId="1" applyFont="1" applyBorder="1">
      <alignment vertical="center"/>
    </xf>
    <xf numFmtId="0" fontId="29" fillId="0" borderId="37" xfId="1" applyNumberFormat="1" applyFont="1" applyBorder="1" applyAlignment="1">
      <alignment horizontal="center" vertical="center"/>
    </xf>
    <xf numFmtId="176" fontId="29" fillId="0" borderId="37" xfId="1" applyNumberFormat="1" applyFont="1" applyBorder="1" applyAlignment="1">
      <alignment horizontal="center" vertical="center"/>
    </xf>
    <xf numFmtId="49" fontId="29" fillId="0" borderId="37" xfId="1" applyNumberFormat="1" applyFont="1" applyBorder="1" applyAlignment="1">
      <alignment horizontal="center" vertical="center"/>
    </xf>
    <xf numFmtId="41" fontId="29" fillId="0" borderId="37" xfId="1" applyFont="1" applyFill="1" applyBorder="1" applyAlignment="1">
      <alignment horizontal="center" vertical="center"/>
    </xf>
    <xf numFmtId="0" fontId="35" fillId="0" borderId="42" xfId="0" applyFont="1" applyBorder="1" applyAlignment="1">
      <alignment horizontal="left" vertical="center" wrapText="1"/>
    </xf>
    <xf numFmtId="41" fontId="29" fillId="0" borderId="37" xfId="1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41" fontId="29" fillId="0" borderId="27" xfId="1" applyFont="1" applyBorder="1" applyAlignment="1">
      <alignment horizontal="center" vertical="center"/>
    </xf>
    <xf numFmtId="0" fontId="27" fillId="0" borderId="60" xfId="0" applyFont="1" applyBorder="1" applyAlignment="1">
      <alignment horizontal="left" vertical="center"/>
    </xf>
    <xf numFmtId="41" fontId="29" fillId="0" borderId="14" xfId="1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41" fontId="29" fillId="0" borderId="57" xfId="1" applyFont="1" applyBorder="1" applyAlignment="1">
      <alignment horizontal="center" vertical="center"/>
    </xf>
    <xf numFmtId="0" fontId="27" fillId="0" borderId="67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4" xfId="1" applyNumberFormat="1" applyFont="1" applyBorder="1" applyAlignment="1">
      <alignment horizontal="center" vertical="center"/>
    </xf>
    <xf numFmtId="41" fontId="29" fillId="0" borderId="4" xfId="1" applyFont="1" applyBorder="1" applyAlignment="1">
      <alignment horizontal="center" vertical="center"/>
    </xf>
    <xf numFmtId="41" fontId="29" fillId="0" borderId="21" xfId="1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9" fillId="2" borderId="4" xfId="1" applyNumberFormat="1" applyFont="1" applyFill="1" applyBorder="1" applyAlignment="1">
      <alignment horizontal="center" vertical="center" wrapText="1"/>
    </xf>
    <xf numFmtId="41" fontId="29" fillId="2" borderId="4" xfId="1" applyFont="1" applyFill="1" applyBorder="1" applyAlignment="1">
      <alignment horizontal="center" vertical="center"/>
    </xf>
    <xf numFmtId="41" fontId="29" fillId="2" borderId="4" xfId="1" applyFont="1" applyFill="1" applyBorder="1">
      <alignment vertical="center"/>
    </xf>
    <xf numFmtId="41" fontId="29" fillId="2" borderId="21" xfId="1" applyFont="1" applyFill="1" applyBorder="1" applyAlignment="1">
      <alignment horizontal="center" vertical="center"/>
    </xf>
    <xf numFmtId="0" fontId="27" fillId="2" borderId="5" xfId="0" quotePrefix="1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8" xfId="1" applyNumberFormat="1" applyFont="1" applyFill="1" applyBorder="1" applyAlignment="1">
      <alignment horizontal="center" vertical="center"/>
    </xf>
    <xf numFmtId="176" fontId="29" fillId="2" borderId="8" xfId="1" applyNumberFormat="1" applyFont="1" applyFill="1" applyBorder="1" applyAlignment="1">
      <alignment horizontal="center" vertical="center"/>
    </xf>
    <xf numFmtId="41" fontId="29" fillId="2" borderId="8" xfId="1" applyNumberFormat="1" applyFont="1" applyFill="1" applyBorder="1">
      <alignment vertical="center"/>
    </xf>
    <xf numFmtId="41" fontId="29" fillId="2" borderId="22" xfId="1" applyNumberFormat="1" applyFont="1" applyFill="1" applyBorder="1">
      <alignment vertical="center"/>
    </xf>
    <xf numFmtId="0" fontId="27" fillId="2" borderId="9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left" vertical="center" wrapText="1"/>
    </xf>
    <xf numFmtId="41" fontId="31" fillId="0" borderId="14" xfId="0" applyNumberFormat="1" applyFont="1" applyBorder="1">
      <alignment vertical="center"/>
    </xf>
    <xf numFmtId="41" fontId="15" fillId="3" borderId="25" xfId="0" applyNumberFormat="1" applyFont="1" applyFill="1" applyBorder="1" applyAlignment="1">
      <alignment horizontal="center" vertical="center"/>
    </xf>
    <xf numFmtId="41" fontId="15" fillId="3" borderId="47" xfId="0" applyNumberFormat="1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41" fontId="15" fillId="0" borderId="61" xfId="0" applyNumberFormat="1" applyFont="1" applyBorder="1" applyAlignment="1">
      <alignment horizontal="left" vertical="center"/>
    </xf>
    <xf numFmtId="41" fontId="15" fillId="0" borderId="37" xfId="0" applyNumberFormat="1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41" fontId="15" fillId="0" borderId="55" xfId="0" applyNumberFormat="1" applyFont="1" applyBorder="1" applyAlignment="1">
      <alignment horizontal="left" vertical="center"/>
    </xf>
    <xf numFmtId="41" fontId="15" fillId="0" borderId="38" xfId="0" applyNumberFormat="1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41" fontId="15" fillId="0" borderId="56" xfId="0" applyNumberFormat="1" applyFont="1" applyBorder="1" applyAlignment="1">
      <alignment horizontal="left" vertical="center"/>
    </xf>
    <xf numFmtId="41" fontId="15" fillId="0" borderId="39" xfId="0" applyNumberFormat="1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5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vertical="center"/>
    </xf>
    <xf numFmtId="0" fontId="14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0" fontId="16" fillId="3" borderId="47" xfId="0" applyFont="1" applyFill="1" applyBorder="1" applyAlignment="1">
      <alignment vertical="center"/>
    </xf>
    <xf numFmtId="41" fontId="15" fillId="0" borderId="56" xfId="0" applyNumberFormat="1" applyFont="1" applyBorder="1" applyAlignment="1">
      <alignment horizontal="center" vertical="center"/>
    </xf>
    <xf numFmtId="41" fontId="15" fillId="0" borderId="39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78" fontId="15" fillId="0" borderId="52" xfId="0" applyNumberFormat="1" applyFont="1" applyBorder="1" applyAlignment="1">
      <alignment horizontal="right" vertical="center"/>
    </xf>
    <xf numFmtId="178" fontId="15" fillId="0" borderId="38" xfId="0" applyNumberFormat="1" applyFont="1" applyBorder="1" applyAlignment="1">
      <alignment horizontal="right" vertical="center"/>
    </xf>
    <xf numFmtId="179" fontId="21" fillId="3" borderId="47" xfId="0" applyNumberFormat="1" applyFont="1" applyFill="1" applyBorder="1" applyAlignment="1">
      <alignment horizontal="right" vertical="center"/>
    </xf>
    <xf numFmtId="179" fontId="22" fillId="3" borderId="47" xfId="0" applyNumberFormat="1" applyFont="1" applyFill="1" applyBorder="1" applyAlignment="1">
      <alignment horizontal="right" vertical="center"/>
    </xf>
    <xf numFmtId="178" fontId="15" fillId="0" borderId="39" xfId="0" applyNumberFormat="1" applyFont="1" applyBorder="1" applyAlignment="1">
      <alignment horizontal="right" vertical="center"/>
    </xf>
    <xf numFmtId="41" fontId="15" fillId="0" borderId="55" xfId="0" applyNumberFormat="1" applyFont="1" applyBorder="1" applyAlignment="1">
      <alignment horizontal="center" vertical="center"/>
    </xf>
    <xf numFmtId="41" fontId="15" fillId="0" borderId="38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41" fontId="15" fillId="0" borderId="54" xfId="0" applyNumberFormat="1" applyFont="1" applyBorder="1" applyAlignment="1">
      <alignment horizontal="center" vertical="center"/>
    </xf>
    <xf numFmtId="41" fontId="15" fillId="0" borderId="52" xfId="0" applyNumberFormat="1" applyFont="1" applyBorder="1" applyAlignment="1">
      <alignment horizontal="center" vertical="center"/>
    </xf>
    <xf numFmtId="0" fontId="15" fillId="0" borderId="52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0" fontId="25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vertical="center" shrinkToFit="1"/>
    </xf>
    <xf numFmtId="0" fontId="16" fillId="3" borderId="16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21" fillId="0" borderId="45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vertical="center"/>
    </xf>
    <xf numFmtId="0" fontId="19" fillId="4" borderId="47" xfId="0" applyFont="1" applyFill="1" applyBorder="1" applyAlignment="1">
      <alignment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41" fontId="14" fillId="4" borderId="28" xfId="1" applyFont="1" applyFill="1" applyBorder="1" applyAlignment="1">
      <alignment horizontal="center" vertical="center"/>
    </xf>
    <xf numFmtId="41" fontId="14" fillId="4" borderId="13" xfId="1" applyFont="1" applyFill="1" applyBorder="1" applyAlignment="1">
      <alignment horizontal="center" vertical="center"/>
    </xf>
    <xf numFmtId="41" fontId="14" fillId="4" borderId="7" xfId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4" xfId="1" applyNumberFormat="1" applyFont="1" applyFill="1" applyBorder="1" applyAlignment="1">
      <alignment horizontal="center" vertical="center"/>
    </xf>
    <xf numFmtId="41" fontId="14" fillId="4" borderId="4" xfId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1" fontId="2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41" fontId="5" fillId="0" borderId="0" xfId="0" applyNumberFormat="1" applyFont="1" applyBorder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Normal="115" zoomScaleSheetLayoutView="100" workbookViewId="0">
      <selection sqref="A1:E1"/>
    </sheetView>
  </sheetViews>
  <sheetFormatPr defaultRowHeight="13.5"/>
  <cols>
    <col min="1" max="1" width="6.44140625" customWidth="1"/>
    <col min="2" max="2" width="4" customWidth="1"/>
    <col min="3" max="3" width="15.6640625" customWidth="1"/>
    <col min="4" max="4" width="13" style="9" customWidth="1"/>
    <col min="5" max="5" width="43.21875" customWidth="1"/>
    <col min="6" max="6" width="11.5546875" bestFit="1" customWidth="1"/>
  </cols>
  <sheetData>
    <row r="1" spans="1:5" ht="52.5" customHeight="1">
      <c r="A1" s="326" t="s">
        <v>184</v>
      </c>
      <c r="B1" s="327"/>
      <c r="C1" s="327"/>
      <c r="D1" s="327"/>
      <c r="E1" s="327"/>
    </row>
    <row r="2" spans="1:5" ht="30" customHeight="1" thickBot="1">
      <c r="A2" s="104"/>
      <c r="B2" s="105"/>
      <c r="C2" s="105"/>
      <c r="D2" s="105"/>
      <c r="E2" s="136" t="s">
        <v>204</v>
      </c>
    </row>
    <row r="3" spans="1:5" ht="35.25" customHeight="1" thickBot="1">
      <c r="A3" s="330" t="s">
        <v>47</v>
      </c>
      <c r="B3" s="331"/>
      <c r="C3" s="332"/>
      <c r="D3" s="139" t="s">
        <v>126</v>
      </c>
      <c r="E3" s="140" t="s">
        <v>48</v>
      </c>
    </row>
    <row r="4" spans="1:5" ht="20.100000000000001" customHeight="1" thickTop="1">
      <c r="A4" s="328" t="s">
        <v>116</v>
      </c>
      <c r="B4" s="334" t="s">
        <v>39</v>
      </c>
      <c r="C4" s="335"/>
      <c r="D4" s="36">
        <f>원가계산서!H3</f>
        <v>0</v>
      </c>
      <c r="E4" s="17"/>
    </row>
    <row r="5" spans="1:5" ht="20.100000000000001" customHeight="1">
      <c r="A5" s="329"/>
      <c r="B5" s="336" t="s">
        <v>40</v>
      </c>
      <c r="C5" s="337"/>
      <c r="D5" s="43">
        <f>원가계산서!H4</f>
        <v>0</v>
      </c>
      <c r="E5" s="18" t="str">
        <f>설계내역서!B7</f>
        <v>시급 x 1.5×연장시간</v>
      </c>
    </row>
    <row r="6" spans="1:5" ht="20.100000000000001" customHeight="1">
      <c r="A6" s="329"/>
      <c r="B6" s="338" t="s">
        <v>107</v>
      </c>
      <c r="C6" s="339"/>
      <c r="D6" s="96">
        <f>원가계산서!H5</f>
        <v>0</v>
      </c>
      <c r="E6" s="21" t="str">
        <f>설계내역서!B8</f>
        <v>일급 x 2일/3월</v>
      </c>
    </row>
    <row r="7" spans="1:5" ht="20.100000000000001" customHeight="1">
      <c r="A7" s="329"/>
      <c r="B7" s="316" t="s">
        <v>36</v>
      </c>
      <c r="C7" s="333"/>
      <c r="D7" s="141">
        <f>원가계산서!H6</f>
        <v>0</v>
      </c>
      <c r="E7" s="142"/>
    </row>
    <row r="8" spans="1:5" ht="20.100000000000001" customHeight="1">
      <c r="A8" s="311" t="s">
        <v>38</v>
      </c>
      <c r="B8" s="318" t="s">
        <v>117</v>
      </c>
      <c r="C8" s="66" t="s">
        <v>41</v>
      </c>
      <c r="D8" s="93">
        <f>원가계산서!H7</f>
        <v>0</v>
      </c>
      <c r="E8" s="133" t="str">
        <f>원가계산서!I7</f>
        <v>(기본급+제수당) x (45/1000) × 3(월) × 1조(2명)</v>
      </c>
    </row>
    <row r="9" spans="1:5" ht="20.100000000000001" customHeight="1">
      <c r="A9" s="312"/>
      <c r="B9" s="318"/>
      <c r="C9" s="52" t="s">
        <v>42</v>
      </c>
      <c r="D9" s="43">
        <f>원가계산서!H8</f>
        <v>0</v>
      </c>
      <c r="E9" s="134" t="str">
        <f>원가계산서!I8</f>
        <v>(기본급+제수당) x (34.95/1000) × 3(월) × 1조(2명)</v>
      </c>
    </row>
    <row r="10" spans="1:5" ht="20.100000000000001" customHeight="1">
      <c r="A10" s="312"/>
      <c r="B10" s="318"/>
      <c r="C10" s="52" t="s">
        <v>43</v>
      </c>
      <c r="D10" s="43">
        <f>원가계산서!H9</f>
        <v>0</v>
      </c>
      <c r="E10" s="134" t="str">
        <f>원가계산서!I9</f>
        <v>(기본급+제수당) x (18/1000) × 3(월) × 1조(2명)</v>
      </c>
    </row>
    <row r="11" spans="1:5" ht="20.100000000000001" customHeight="1">
      <c r="A11" s="312"/>
      <c r="B11" s="318"/>
      <c r="C11" s="94" t="s">
        <v>44</v>
      </c>
      <c r="D11" s="95">
        <f>원가계산서!H10</f>
        <v>0</v>
      </c>
      <c r="E11" s="134" t="str">
        <f>원가계산서!I10</f>
        <v>(기본급+제수당) x (10.5/1000) × 3(월) × 1조(2명)</v>
      </c>
    </row>
    <row r="12" spans="1:5" ht="20.100000000000001" customHeight="1">
      <c r="A12" s="312"/>
      <c r="B12" s="318"/>
      <c r="C12" s="52" t="s">
        <v>13</v>
      </c>
      <c r="D12" s="43">
        <f>원가계산서!H11</f>
        <v>0</v>
      </c>
      <c r="E12" s="134" t="str">
        <f>원가계산서!I11</f>
        <v>건강보험료 x (12.27/100) × 3(월) × 1조(2명)</v>
      </c>
    </row>
    <row r="13" spans="1:5" ht="19.5" customHeight="1">
      <c r="A13" s="312"/>
      <c r="B13" s="318"/>
      <c r="C13" s="52" t="s">
        <v>0</v>
      </c>
      <c r="D13" s="43">
        <f>원가계산서!H12</f>
        <v>0</v>
      </c>
      <c r="E13" s="134" t="str">
        <f>원가계산서!I12</f>
        <v>(기본급+제수당) x (0.6/1000) × 3(월) × 1조(2명)</v>
      </c>
    </row>
    <row r="14" spans="1:5" ht="19.5" customHeight="1">
      <c r="A14" s="312"/>
      <c r="B14" s="318"/>
      <c r="C14" s="55" t="s">
        <v>56</v>
      </c>
      <c r="D14" s="96">
        <f>원가계산서!H13</f>
        <v>0</v>
      </c>
      <c r="E14" s="135" t="str">
        <f>원가계산서!I13</f>
        <v>(기본급+제수당) x (0.03/1000) × 3(월) × 1조(2명)</v>
      </c>
    </row>
    <row r="15" spans="1:5" ht="19.5" customHeight="1">
      <c r="A15" s="312"/>
      <c r="B15" s="322" t="str">
        <f>원가계산서!B14</f>
        <v>기타복리후생비</v>
      </c>
      <c r="C15" s="270" t="str">
        <f>원가계산서!C14</f>
        <v>식                 대</v>
      </c>
      <c r="D15" s="271">
        <f>원가계산서!H14</f>
        <v>0</v>
      </c>
      <c r="E15" s="272" t="str">
        <f>원가계산서!I14</f>
        <v>공사 기간제근로자 식비  총 78일/3월 =26일</v>
      </c>
    </row>
    <row r="16" spans="1:5" ht="19.5" customHeight="1">
      <c r="A16" s="312"/>
      <c r="B16" s="323"/>
      <c r="C16" s="270" t="str">
        <f>원가계산서!C15</f>
        <v>교  통  보  조  비</v>
      </c>
      <c r="D16" s="271">
        <f>원가계산서!H15</f>
        <v>0</v>
      </c>
      <c r="E16" s="272" t="str">
        <f>원가계산서!I15</f>
        <v>경기도 버스 왕복요금 1,500*2회 =3,000원</v>
      </c>
    </row>
    <row r="17" spans="1:5" ht="19.5" customHeight="1">
      <c r="A17" s="312"/>
      <c r="B17" s="313" t="s">
        <v>136</v>
      </c>
      <c r="C17" s="314"/>
      <c r="D17" s="271">
        <f>원가계산서!H16</f>
        <v>0</v>
      </c>
      <c r="E17" s="272" t="s">
        <v>205</v>
      </c>
    </row>
    <row r="18" spans="1:5" ht="20.100000000000001" customHeight="1">
      <c r="A18" s="312"/>
      <c r="B18" s="315" t="s">
        <v>49</v>
      </c>
      <c r="C18" s="315"/>
      <c r="D18" s="273">
        <f>원가계산서!H17</f>
        <v>0</v>
      </c>
      <c r="E18" s="274" t="str">
        <f>원가계산서!I17</f>
        <v xml:space="preserve">내용연수 9년(정률법)
-현대뉴카운티 어린이버스 장축 오토 80,340천원 </v>
      </c>
    </row>
    <row r="19" spans="1:5" ht="20.100000000000001" customHeight="1">
      <c r="A19" s="312"/>
      <c r="B19" s="324" t="str">
        <f>원가계산서!B18</f>
        <v>차량운영유지비</v>
      </c>
      <c r="C19" s="325"/>
      <c r="D19" s="275">
        <f>원가계산서!H18</f>
        <v>0</v>
      </c>
      <c r="E19" s="276" t="str">
        <f>원가계산서!I18</f>
        <v>타이어비 10.739원/km 월 20,833원
차량정비비 32.526원/km 월 63,100원</v>
      </c>
    </row>
    <row r="20" spans="1:5" ht="20.100000000000001" customHeight="1">
      <c r="A20" s="312"/>
      <c r="B20" s="324" t="str">
        <f>원가계산서!B19</f>
        <v>세      차      비</v>
      </c>
      <c r="C20" s="325"/>
      <c r="D20" s="275">
        <f>원가계산서!H19</f>
        <v>0</v>
      </c>
      <c r="E20" s="276" t="str">
        <f>원가계산서!I19</f>
        <v>4.345주* 88,000원 =월382,360원</v>
      </c>
    </row>
    <row r="21" spans="1:5" ht="21.95" customHeight="1">
      <c r="A21" s="312"/>
      <c r="B21" s="319" t="s">
        <v>50</v>
      </c>
      <c r="C21" s="262" t="str">
        <f>원가계산서!C20</f>
        <v>차량보험료</v>
      </c>
      <c r="D21" s="269">
        <f>원가계산서!H20</f>
        <v>0</v>
      </c>
      <c r="E21" s="133" t="str">
        <f>원가계산서!I20</f>
        <v>3(월)/12(월) × 현대카운티 어린이버스 장축 
35세이상 운전자기준 보험료</v>
      </c>
    </row>
    <row r="22" spans="1:5" ht="21.95" customHeight="1">
      <c r="A22" s="312"/>
      <c r="B22" s="320"/>
      <c r="C22" s="209" t="str">
        <f>원가계산서!C21</f>
        <v>자 동 차 세</v>
      </c>
      <c r="D22" s="98">
        <f>원가계산서!H21</f>
        <v>0</v>
      </c>
      <c r="E22" s="33" t="str">
        <f>원가계산서!I21</f>
        <v>3(월)/12(월) × 자동차세</v>
      </c>
    </row>
    <row r="23" spans="1:5" ht="21.95" customHeight="1">
      <c r="A23" s="312"/>
      <c r="B23" s="321"/>
      <c r="C23" s="210" t="str">
        <f>원가계산서!C22</f>
        <v>차량검사료</v>
      </c>
      <c r="D23" s="96">
        <f>원가계산서!H22</f>
        <v>0</v>
      </c>
      <c r="E23" s="21" t="str">
        <f>원가계산서!I22</f>
        <v>3(월)/12(월) × 검사료</v>
      </c>
    </row>
    <row r="24" spans="1:5" ht="19.5" customHeight="1">
      <c r="A24" s="312"/>
      <c r="B24" s="106" t="s">
        <v>28</v>
      </c>
      <c r="C24" s="211" t="str">
        <f>원가계산서!C23</f>
        <v>엔 진 오 일</v>
      </c>
      <c r="D24" s="97">
        <f>설계내역서!F37</f>
        <v>0</v>
      </c>
      <c r="E24" s="23" t="str">
        <f>설계내역서!B37</f>
        <v xml:space="preserve"> 7,760km÷10,000㎞/회 =0.582회</v>
      </c>
    </row>
    <row r="25" spans="1:5" ht="20.100000000000001" customHeight="1">
      <c r="A25" s="312"/>
      <c r="B25" s="316" t="s">
        <v>36</v>
      </c>
      <c r="C25" s="317"/>
      <c r="D25" s="141">
        <f>원가계산서!H24</f>
        <v>0</v>
      </c>
      <c r="E25" s="143"/>
    </row>
    <row r="26" spans="1:5" ht="20.100000000000001" customHeight="1">
      <c r="A26" s="302" t="s">
        <v>29</v>
      </c>
      <c r="B26" s="303"/>
      <c r="C26" s="304"/>
      <c r="D26" s="99">
        <f>원가계산서!F25</f>
        <v>0</v>
      </c>
      <c r="E26" s="35" t="s">
        <v>22</v>
      </c>
    </row>
    <row r="27" spans="1:5" ht="20.100000000000001" customHeight="1">
      <c r="A27" s="305" t="s">
        <v>30</v>
      </c>
      <c r="B27" s="306"/>
      <c r="C27" s="307"/>
      <c r="D27" s="100">
        <f>원가계산서!F26</f>
        <v>0</v>
      </c>
      <c r="E27" s="155" t="s">
        <v>130</v>
      </c>
    </row>
    <row r="28" spans="1:5" ht="20.100000000000001" customHeight="1">
      <c r="A28" s="305" t="s">
        <v>31</v>
      </c>
      <c r="B28" s="306"/>
      <c r="C28" s="307"/>
      <c r="D28" s="100">
        <f>원가계산서!F27</f>
        <v>0</v>
      </c>
      <c r="E28" s="25" t="s">
        <v>25</v>
      </c>
    </row>
    <row r="29" spans="1:5" ht="20.100000000000001" customHeight="1">
      <c r="A29" s="305" t="s">
        <v>32</v>
      </c>
      <c r="B29" s="306"/>
      <c r="C29" s="307"/>
      <c r="D29" s="100">
        <f>원가계산서!F28</f>
        <v>0</v>
      </c>
      <c r="E29" s="25" t="s">
        <v>27</v>
      </c>
    </row>
    <row r="30" spans="1:5" ht="20.100000000000001" customHeight="1">
      <c r="A30" s="305" t="s">
        <v>33</v>
      </c>
      <c r="B30" s="306"/>
      <c r="C30" s="307"/>
      <c r="D30" s="100">
        <f>원가계산서!F29</f>
        <v>0</v>
      </c>
      <c r="E30" s="25" t="s">
        <v>93</v>
      </c>
    </row>
    <row r="31" spans="1:5" ht="20.100000000000001" customHeight="1" thickBot="1">
      <c r="A31" s="308" t="s">
        <v>34</v>
      </c>
      <c r="B31" s="309"/>
      <c r="C31" s="310"/>
      <c r="D31" s="101">
        <f>D30*0.1</f>
        <v>0</v>
      </c>
      <c r="E31" s="26" t="s">
        <v>23</v>
      </c>
    </row>
    <row r="32" spans="1:5" ht="36.75" customHeight="1" thickTop="1" thickBot="1">
      <c r="A32" s="299" t="s">
        <v>35</v>
      </c>
      <c r="B32" s="300"/>
      <c r="C32" s="301"/>
      <c r="D32" s="144">
        <f>ROUNDDOWN(D30+D31,-4)</f>
        <v>0</v>
      </c>
      <c r="E32" s="145" t="s">
        <v>135</v>
      </c>
    </row>
  </sheetData>
  <mergeCells count="23">
    <mergeCell ref="A1:E1"/>
    <mergeCell ref="A4:A7"/>
    <mergeCell ref="A3:C3"/>
    <mergeCell ref="B7:C7"/>
    <mergeCell ref="B4:C4"/>
    <mergeCell ref="B5:C5"/>
    <mergeCell ref="B6:C6"/>
    <mergeCell ref="A8:A25"/>
    <mergeCell ref="B17:C17"/>
    <mergeCell ref="B18:C18"/>
    <mergeCell ref="B25:C25"/>
    <mergeCell ref="B8:B14"/>
    <mergeCell ref="B21:B23"/>
    <mergeCell ref="B15:B16"/>
    <mergeCell ref="B19:C19"/>
    <mergeCell ref="B20:C20"/>
    <mergeCell ref="A32:C32"/>
    <mergeCell ref="A26:C26"/>
    <mergeCell ref="A27:C27"/>
    <mergeCell ref="A28:C28"/>
    <mergeCell ref="A29:C29"/>
    <mergeCell ref="A30:C30"/>
    <mergeCell ref="A31:C31"/>
  </mergeCells>
  <phoneticPr fontId="2" type="noConversion"/>
  <printOptions horizontalCentered="1" verticalCentered="1"/>
  <pageMargins left="0.39370078740157483" right="0.39370078740157483" top="0.16" bottom="0.31" header="0.2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SheetLayoutView="100" workbookViewId="0">
      <selection sqref="A1:I1"/>
    </sheetView>
  </sheetViews>
  <sheetFormatPr defaultRowHeight="18.95" customHeight="1"/>
  <cols>
    <col min="1" max="1" width="4.88671875" style="3" customWidth="1"/>
    <col min="2" max="2" width="3.44140625" style="6" customWidth="1"/>
    <col min="3" max="3" width="15.88671875" style="4" customWidth="1"/>
    <col min="4" max="4" width="10.21875" style="4" customWidth="1"/>
    <col min="5" max="5" width="8" style="5" customWidth="1"/>
    <col min="6" max="6" width="6" style="4" bestFit="1" customWidth="1"/>
    <col min="7" max="7" width="3.88671875" style="4" customWidth="1"/>
    <col min="8" max="8" width="20.44140625" style="4" bestFit="1" customWidth="1"/>
    <col min="9" max="9" width="41.5546875" style="4" customWidth="1"/>
    <col min="10" max="16384" width="8.88671875" style="3"/>
  </cols>
  <sheetData>
    <row r="1" spans="1:9" ht="64.5" customHeight="1" thickBot="1">
      <c r="A1" s="358" t="s">
        <v>132</v>
      </c>
      <c r="B1" s="359"/>
      <c r="C1" s="359"/>
      <c r="D1" s="359"/>
      <c r="E1" s="359"/>
      <c r="F1" s="359"/>
      <c r="G1" s="359"/>
      <c r="H1" s="359"/>
      <c r="I1" s="359"/>
    </row>
    <row r="2" spans="1:9" ht="40.5" customHeight="1" thickBot="1">
      <c r="A2" s="330" t="s">
        <v>47</v>
      </c>
      <c r="B2" s="331"/>
      <c r="C2" s="360"/>
      <c r="D2" s="156" t="s">
        <v>15</v>
      </c>
      <c r="E2" s="158" t="s">
        <v>21</v>
      </c>
      <c r="F2" s="156" t="s">
        <v>45</v>
      </c>
      <c r="G2" s="156" t="s">
        <v>46</v>
      </c>
      <c r="H2" s="156" t="s">
        <v>115</v>
      </c>
      <c r="I2" s="140" t="s">
        <v>48</v>
      </c>
    </row>
    <row r="3" spans="1:9" ht="30" customHeight="1" thickTop="1">
      <c r="A3" s="364" t="s">
        <v>116</v>
      </c>
      <c r="B3" s="334" t="s">
        <v>39</v>
      </c>
      <c r="C3" s="335"/>
      <c r="D3" s="36">
        <f>설계내역서!I6</f>
        <v>0</v>
      </c>
      <c r="E3" s="37">
        <f>설계내역서!C6</f>
        <v>1</v>
      </c>
      <c r="F3" s="36" t="s">
        <v>9</v>
      </c>
      <c r="G3" s="38">
        <v>3</v>
      </c>
      <c r="H3" s="39">
        <f>D3*E3*G3</f>
        <v>0</v>
      </c>
      <c r="I3" s="40"/>
    </row>
    <row r="4" spans="1:9" ht="30" customHeight="1">
      <c r="A4" s="365"/>
      <c r="B4" s="336" t="s">
        <v>40</v>
      </c>
      <c r="C4" s="337"/>
      <c r="D4" s="41">
        <f>설계내역서!I7</f>
        <v>0</v>
      </c>
      <c r="E4" s="42">
        <v>1</v>
      </c>
      <c r="F4" s="43" t="s">
        <v>10</v>
      </c>
      <c r="G4" s="44">
        <v>3</v>
      </c>
      <c r="H4" s="45">
        <f>ROUND(D4*E4*G4,0)</f>
        <v>0</v>
      </c>
      <c r="I4" s="46"/>
    </row>
    <row r="5" spans="1:9" ht="30" customHeight="1">
      <c r="A5" s="365"/>
      <c r="B5" s="374" t="s">
        <v>107</v>
      </c>
      <c r="C5" s="375"/>
      <c r="D5" s="56">
        <f>설계내역서!I8</f>
        <v>0</v>
      </c>
      <c r="E5" s="212">
        <v>1</v>
      </c>
      <c r="F5" s="96" t="s">
        <v>11</v>
      </c>
      <c r="G5" s="59">
        <v>3</v>
      </c>
      <c r="H5" s="60">
        <f>D5*E5*G5</f>
        <v>0</v>
      </c>
      <c r="I5" s="213"/>
    </row>
    <row r="6" spans="1:9" ht="30" customHeight="1" thickBot="1">
      <c r="A6" s="366"/>
      <c r="B6" s="369" t="s">
        <v>36</v>
      </c>
      <c r="C6" s="370"/>
      <c r="D6" s="371"/>
      <c r="E6" s="371"/>
      <c r="F6" s="371"/>
      <c r="G6" s="371"/>
      <c r="H6" s="159">
        <f>SUM(H3:H5)</f>
        <v>0</v>
      </c>
      <c r="I6" s="160"/>
    </row>
    <row r="7" spans="1:9" ht="30" customHeight="1">
      <c r="A7" s="364" t="s">
        <v>114</v>
      </c>
      <c r="B7" s="372" t="s">
        <v>169</v>
      </c>
      <c r="C7" s="47" t="s">
        <v>41</v>
      </c>
      <c r="D7" s="48">
        <f>설계내역서!I13</f>
        <v>0</v>
      </c>
      <c r="E7" s="49">
        <v>1</v>
      </c>
      <c r="F7" s="50" t="s">
        <v>9</v>
      </c>
      <c r="G7" s="51">
        <v>3</v>
      </c>
      <c r="H7" s="146">
        <f>D7*E7*G7</f>
        <v>0</v>
      </c>
      <c r="I7" s="20" t="s">
        <v>192</v>
      </c>
    </row>
    <row r="8" spans="1:9" s="15" customFormat="1" ht="30" customHeight="1">
      <c r="A8" s="367"/>
      <c r="B8" s="373"/>
      <c r="C8" s="52" t="s">
        <v>83</v>
      </c>
      <c r="D8" s="41">
        <f>설계내역서!I14</f>
        <v>0</v>
      </c>
      <c r="E8" s="53">
        <v>1</v>
      </c>
      <c r="F8" s="54" t="s">
        <v>84</v>
      </c>
      <c r="G8" s="44">
        <v>3</v>
      </c>
      <c r="H8" s="45">
        <f>D8*E8*G8</f>
        <v>0</v>
      </c>
      <c r="I8" s="19" t="s">
        <v>193</v>
      </c>
    </row>
    <row r="9" spans="1:9" ht="30" customHeight="1">
      <c r="A9" s="367"/>
      <c r="B9" s="373"/>
      <c r="C9" s="52" t="s">
        <v>85</v>
      </c>
      <c r="D9" s="41">
        <f>설계내역서!I15</f>
        <v>0</v>
      </c>
      <c r="E9" s="53">
        <v>1</v>
      </c>
      <c r="F9" s="54" t="s">
        <v>84</v>
      </c>
      <c r="G9" s="44">
        <v>3</v>
      </c>
      <c r="H9" s="45">
        <f t="shared" ref="H9:H12" si="0">D9*E9*G9</f>
        <v>0</v>
      </c>
      <c r="I9" s="19" t="s">
        <v>194</v>
      </c>
    </row>
    <row r="10" spans="1:9" ht="30" customHeight="1">
      <c r="A10" s="367"/>
      <c r="B10" s="373"/>
      <c r="C10" s="52" t="s">
        <v>86</v>
      </c>
      <c r="D10" s="41">
        <f>설계내역서!I17</f>
        <v>0</v>
      </c>
      <c r="E10" s="53">
        <v>1</v>
      </c>
      <c r="F10" s="54" t="s">
        <v>84</v>
      </c>
      <c r="G10" s="44">
        <v>3</v>
      </c>
      <c r="H10" s="45">
        <f t="shared" si="0"/>
        <v>0</v>
      </c>
      <c r="I10" s="19" t="s">
        <v>195</v>
      </c>
    </row>
    <row r="11" spans="1:9" s="15" customFormat="1" ht="30" customHeight="1">
      <c r="A11" s="367"/>
      <c r="B11" s="373"/>
      <c r="C11" s="52" t="s">
        <v>87</v>
      </c>
      <c r="D11" s="41">
        <f>설계내역서!I16</f>
        <v>0</v>
      </c>
      <c r="E11" s="53">
        <v>1</v>
      </c>
      <c r="F11" s="54" t="s">
        <v>84</v>
      </c>
      <c r="G11" s="44">
        <v>3</v>
      </c>
      <c r="H11" s="45">
        <f t="shared" si="0"/>
        <v>0</v>
      </c>
      <c r="I11" s="19" t="s">
        <v>196</v>
      </c>
    </row>
    <row r="12" spans="1:9" ht="30" customHeight="1">
      <c r="A12" s="367"/>
      <c r="B12" s="373"/>
      <c r="C12" s="52" t="s">
        <v>0</v>
      </c>
      <c r="D12" s="41">
        <f>설계내역서!I18</f>
        <v>0</v>
      </c>
      <c r="E12" s="53">
        <v>1</v>
      </c>
      <c r="F12" s="54" t="s">
        <v>9</v>
      </c>
      <c r="G12" s="44">
        <v>3</v>
      </c>
      <c r="H12" s="45">
        <f t="shared" si="0"/>
        <v>0</v>
      </c>
      <c r="I12" s="19" t="s">
        <v>197</v>
      </c>
    </row>
    <row r="13" spans="1:9" ht="30" customHeight="1">
      <c r="A13" s="367"/>
      <c r="B13" s="373"/>
      <c r="C13" s="55" t="s">
        <v>56</v>
      </c>
      <c r="D13" s="56">
        <f>설계내역서!I19</f>
        <v>0</v>
      </c>
      <c r="E13" s="57">
        <v>1</v>
      </c>
      <c r="F13" s="58" t="s">
        <v>57</v>
      </c>
      <c r="G13" s="59">
        <v>3</v>
      </c>
      <c r="H13" s="60">
        <f>D13*E13*G13</f>
        <v>0</v>
      </c>
      <c r="I13" s="21" t="s">
        <v>198</v>
      </c>
    </row>
    <row r="14" spans="1:9" ht="30" customHeight="1">
      <c r="A14" s="367"/>
      <c r="B14" s="378" t="s">
        <v>163</v>
      </c>
      <c r="C14" s="235" t="s">
        <v>165</v>
      </c>
      <c r="D14" s="236"/>
      <c r="E14" s="237">
        <v>1</v>
      </c>
      <c r="F14" s="238" t="s">
        <v>162</v>
      </c>
      <c r="G14" s="239">
        <v>3</v>
      </c>
      <c r="H14" s="240">
        <f>D14*E14*G14</f>
        <v>0</v>
      </c>
      <c r="I14" s="34" t="s">
        <v>199</v>
      </c>
    </row>
    <row r="15" spans="1:9" ht="30" customHeight="1">
      <c r="A15" s="367"/>
      <c r="B15" s="372"/>
      <c r="C15" s="235" t="s">
        <v>166</v>
      </c>
      <c r="D15" s="236"/>
      <c r="E15" s="237">
        <v>1</v>
      </c>
      <c r="F15" s="238" t="s">
        <v>162</v>
      </c>
      <c r="G15" s="239">
        <v>3</v>
      </c>
      <c r="H15" s="240">
        <f>D15*E15*G15</f>
        <v>0</v>
      </c>
      <c r="I15" s="34" t="s">
        <v>155</v>
      </c>
    </row>
    <row r="16" spans="1:9" ht="30" customHeight="1">
      <c r="A16" s="367"/>
      <c r="B16" s="376" t="s">
        <v>105</v>
      </c>
      <c r="C16" s="377"/>
      <c r="D16" s="214"/>
      <c r="E16" s="62">
        <v>1</v>
      </c>
      <c r="F16" s="63" t="s">
        <v>106</v>
      </c>
      <c r="G16" s="64" t="s">
        <v>200</v>
      </c>
      <c r="H16" s="65">
        <f>D16*E16*G16</f>
        <v>0</v>
      </c>
      <c r="I16" s="22" t="s">
        <v>209</v>
      </c>
    </row>
    <row r="17" spans="1:9" ht="30" customHeight="1">
      <c r="A17" s="367"/>
      <c r="B17" s="376" t="s">
        <v>49</v>
      </c>
      <c r="C17" s="377"/>
      <c r="D17" s="61"/>
      <c r="E17" s="62">
        <v>0.25</v>
      </c>
      <c r="F17" s="63" t="s">
        <v>19</v>
      </c>
      <c r="G17" s="64" t="s">
        <v>37</v>
      </c>
      <c r="H17" s="65">
        <f t="shared" ref="H17:H23" si="1">D17*E17</f>
        <v>0</v>
      </c>
      <c r="I17" s="22" t="s">
        <v>181</v>
      </c>
    </row>
    <row r="18" spans="1:9" ht="30" customHeight="1">
      <c r="A18" s="367"/>
      <c r="B18" s="376" t="s">
        <v>167</v>
      </c>
      <c r="C18" s="377"/>
      <c r="D18" s="241"/>
      <c r="E18" s="242">
        <v>1</v>
      </c>
      <c r="F18" s="243" t="s">
        <v>162</v>
      </c>
      <c r="G18" s="244" t="s">
        <v>200</v>
      </c>
      <c r="H18" s="245">
        <f>D18*G18*E18</f>
        <v>0</v>
      </c>
      <c r="I18" s="246" t="s">
        <v>183</v>
      </c>
    </row>
    <row r="19" spans="1:9" ht="30" customHeight="1">
      <c r="A19" s="367"/>
      <c r="B19" s="324" t="s">
        <v>175</v>
      </c>
      <c r="C19" s="325"/>
      <c r="D19" s="256"/>
      <c r="E19" s="257">
        <v>1</v>
      </c>
      <c r="F19" s="258" t="s">
        <v>168</v>
      </c>
      <c r="G19" s="259" t="s">
        <v>200</v>
      </c>
      <c r="H19" s="260">
        <f>D19*E19*G19</f>
        <v>0</v>
      </c>
      <c r="I19" s="261" t="str">
        <f>설계내역서!J35</f>
        <v>4.345주* 88,000원 =월382,360원</v>
      </c>
    </row>
    <row r="20" spans="1:9" ht="30" customHeight="1">
      <c r="A20" s="367"/>
      <c r="B20" s="378" t="s">
        <v>26</v>
      </c>
      <c r="C20" s="262" t="s">
        <v>108</v>
      </c>
      <c r="D20" s="263"/>
      <c r="E20" s="264">
        <v>0.25</v>
      </c>
      <c r="F20" s="265" t="s">
        <v>97</v>
      </c>
      <c r="G20" s="266"/>
      <c r="H20" s="267">
        <f t="shared" si="1"/>
        <v>0</v>
      </c>
      <c r="I20" s="268" t="s">
        <v>203</v>
      </c>
    </row>
    <row r="21" spans="1:9" ht="30" customHeight="1">
      <c r="A21" s="367"/>
      <c r="B21" s="379"/>
      <c r="C21" s="209" t="s">
        <v>133</v>
      </c>
      <c r="D21" s="67"/>
      <c r="E21" s="68">
        <v>0.25</v>
      </c>
      <c r="F21" s="69" t="s">
        <v>64</v>
      </c>
      <c r="G21" s="70"/>
      <c r="H21" s="71">
        <f>D21*E21</f>
        <v>0</v>
      </c>
      <c r="I21" s="33" t="s">
        <v>202</v>
      </c>
    </row>
    <row r="22" spans="1:9" ht="30" customHeight="1">
      <c r="A22" s="367"/>
      <c r="B22" s="372"/>
      <c r="C22" s="210" t="s">
        <v>65</v>
      </c>
      <c r="D22" s="56"/>
      <c r="E22" s="57">
        <v>0.25</v>
      </c>
      <c r="F22" s="58" t="s">
        <v>64</v>
      </c>
      <c r="G22" s="72"/>
      <c r="H22" s="60">
        <f>D22*E22</f>
        <v>0</v>
      </c>
      <c r="I22" s="21" t="s">
        <v>201</v>
      </c>
    </row>
    <row r="23" spans="1:9" ht="30" customHeight="1">
      <c r="A23" s="367"/>
      <c r="B23" s="92" t="s">
        <v>28</v>
      </c>
      <c r="C23" s="211" t="s">
        <v>134</v>
      </c>
      <c r="D23" s="61">
        <f>설계내역서!E37</f>
        <v>0</v>
      </c>
      <c r="E23" s="62">
        <f>설계내역서!C37</f>
        <v>0.58199999999999996</v>
      </c>
      <c r="F23" s="63" t="s">
        <v>19</v>
      </c>
      <c r="G23" s="64" t="s">
        <v>37</v>
      </c>
      <c r="H23" s="65">
        <f t="shared" si="1"/>
        <v>0</v>
      </c>
      <c r="I23" s="23" t="str">
        <f>설계내역서!B37</f>
        <v xml:space="preserve"> 7,760km÷10,000㎞/회 =0.582회</v>
      </c>
    </row>
    <row r="24" spans="1:9" ht="30" customHeight="1" thickBot="1">
      <c r="A24" s="368"/>
      <c r="B24" s="361" t="s">
        <v>36</v>
      </c>
      <c r="C24" s="362"/>
      <c r="D24" s="363"/>
      <c r="E24" s="363"/>
      <c r="F24" s="363"/>
      <c r="G24" s="363"/>
      <c r="H24" s="161">
        <f>SUM(H7:H23)</f>
        <v>0</v>
      </c>
      <c r="I24" s="162"/>
    </row>
    <row r="25" spans="1:9" ht="30" customHeight="1">
      <c r="A25" s="354" t="s">
        <v>29</v>
      </c>
      <c r="B25" s="355"/>
      <c r="C25" s="356"/>
      <c r="D25" s="357"/>
      <c r="E25" s="357"/>
      <c r="F25" s="345">
        <f>SUM(H24,H6)</f>
        <v>0</v>
      </c>
      <c r="G25" s="345"/>
      <c r="H25" s="345"/>
      <c r="I25" s="24" t="s">
        <v>22</v>
      </c>
    </row>
    <row r="26" spans="1:9" ht="30" customHeight="1">
      <c r="A26" s="350" t="s">
        <v>30</v>
      </c>
      <c r="B26" s="351"/>
      <c r="C26" s="352"/>
      <c r="D26" s="353"/>
      <c r="E26" s="353"/>
      <c r="F26" s="346">
        <f>F25*6%</f>
        <v>0</v>
      </c>
      <c r="G26" s="346"/>
      <c r="H26" s="346"/>
      <c r="I26" s="25" t="s">
        <v>130</v>
      </c>
    </row>
    <row r="27" spans="1:9" ht="30" customHeight="1">
      <c r="A27" s="350" t="s">
        <v>31</v>
      </c>
      <c r="B27" s="351"/>
      <c r="C27" s="352"/>
      <c r="D27" s="353"/>
      <c r="E27" s="353"/>
      <c r="F27" s="346">
        <f>SUM(F25:H26)</f>
        <v>0</v>
      </c>
      <c r="G27" s="346"/>
      <c r="H27" s="346"/>
      <c r="I27" s="25" t="s">
        <v>25</v>
      </c>
    </row>
    <row r="28" spans="1:9" ht="30" customHeight="1">
      <c r="A28" s="350" t="s">
        <v>92</v>
      </c>
      <c r="B28" s="351"/>
      <c r="C28" s="352"/>
      <c r="D28" s="353"/>
      <c r="E28" s="353"/>
      <c r="F28" s="346">
        <f>(F27-(H23))*9.920929%</f>
        <v>0</v>
      </c>
      <c r="G28" s="346"/>
      <c r="H28" s="346"/>
      <c r="I28" s="25" t="s">
        <v>27</v>
      </c>
    </row>
    <row r="29" spans="1:9" ht="30" customHeight="1">
      <c r="A29" s="350" t="s">
        <v>33</v>
      </c>
      <c r="B29" s="351"/>
      <c r="C29" s="352"/>
      <c r="D29" s="353"/>
      <c r="E29" s="353"/>
      <c r="F29" s="346">
        <f>F27+F28</f>
        <v>0</v>
      </c>
      <c r="G29" s="346"/>
      <c r="H29" s="346"/>
      <c r="I29" s="25" t="s">
        <v>93</v>
      </c>
    </row>
    <row r="30" spans="1:9" ht="30" customHeight="1" thickBot="1">
      <c r="A30" s="341" t="s">
        <v>34</v>
      </c>
      <c r="B30" s="342"/>
      <c r="C30" s="343"/>
      <c r="D30" s="344"/>
      <c r="E30" s="344"/>
      <c r="F30" s="349">
        <f>F29*10%</f>
        <v>0</v>
      </c>
      <c r="G30" s="349"/>
      <c r="H30" s="349"/>
      <c r="I30" s="26" t="s">
        <v>23</v>
      </c>
    </row>
    <row r="31" spans="1:9" ht="30" customHeight="1" thickTop="1" thickBot="1">
      <c r="A31" s="299" t="s">
        <v>35</v>
      </c>
      <c r="B31" s="300"/>
      <c r="C31" s="340"/>
      <c r="D31" s="340"/>
      <c r="E31" s="340"/>
      <c r="F31" s="347">
        <f>F29+F30</f>
        <v>0</v>
      </c>
      <c r="G31" s="348"/>
      <c r="H31" s="348"/>
      <c r="I31" s="145" t="s">
        <v>24</v>
      </c>
    </row>
    <row r="33" spans="6:6" ht="18.95" customHeight="1">
      <c r="F33" s="16"/>
    </row>
  </sheetData>
  <mergeCells count="30">
    <mergeCell ref="A1:I1"/>
    <mergeCell ref="A2:C2"/>
    <mergeCell ref="B3:C3"/>
    <mergeCell ref="B4:C4"/>
    <mergeCell ref="B24:G24"/>
    <mergeCell ref="A3:A6"/>
    <mergeCell ref="A7:A24"/>
    <mergeCell ref="B6:G6"/>
    <mergeCell ref="B7:B13"/>
    <mergeCell ref="B5:C5"/>
    <mergeCell ref="B16:C16"/>
    <mergeCell ref="B20:B22"/>
    <mergeCell ref="B17:C17"/>
    <mergeCell ref="B14:B15"/>
    <mergeCell ref="B18:C18"/>
    <mergeCell ref="B19:C19"/>
    <mergeCell ref="A31:E31"/>
    <mergeCell ref="A30:E30"/>
    <mergeCell ref="F25:H25"/>
    <mergeCell ref="F26:H26"/>
    <mergeCell ref="F27:H27"/>
    <mergeCell ref="F31:H31"/>
    <mergeCell ref="F30:H30"/>
    <mergeCell ref="F29:H29"/>
    <mergeCell ref="F28:H28"/>
    <mergeCell ref="A27:E27"/>
    <mergeCell ref="A28:E28"/>
    <mergeCell ref="A29:E29"/>
    <mergeCell ref="A26:E26"/>
    <mergeCell ref="A25:E25"/>
  </mergeCells>
  <phoneticPr fontId="2" type="noConversion"/>
  <printOptions horizontalCentered="1" verticalCentered="1"/>
  <pageMargins left="0.39370078740157483" right="0.39370078740157483" top="0.27559055118110237" bottom="0.19685039370078741" header="0.15748031496062992" footer="0.1574803149606299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zoomScaleNormal="100" zoomScaleSheetLayoutView="85" workbookViewId="0">
      <selection sqref="A1:J1"/>
    </sheetView>
  </sheetViews>
  <sheetFormatPr defaultRowHeight="18.95" customHeight="1"/>
  <cols>
    <col min="1" max="1" width="16.5546875" style="4" customWidth="1"/>
    <col min="2" max="2" width="28.5546875" style="4" customWidth="1"/>
    <col min="3" max="3" width="8" style="5" customWidth="1"/>
    <col min="4" max="4" width="7.44140625" style="4" bestFit="1" customWidth="1"/>
    <col min="5" max="6" width="12.77734375" style="4" customWidth="1"/>
    <col min="7" max="7" width="9.88671875" style="4" bestFit="1" customWidth="1"/>
    <col min="8" max="8" width="13.44140625" style="4" bestFit="1" customWidth="1"/>
    <col min="9" max="9" width="14.6640625" style="4" bestFit="1" customWidth="1"/>
    <col min="10" max="10" width="56.6640625" style="3" customWidth="1"/>
    <col min="11" max="12" width="0" style="3" hidden="1" customWidth="1"/>
    <col min="13" max="16384" width="8.88671875" style="3"/>
  </cols>
  <sheetData>
    <row r="1" spans="1:23" ht="59.25" customHeight="1">
      <c r="A1" s="394" t="s">
        <v>131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23" ht="28.5" customHeight="1" thickBot="1">
      <c r="A2" s="137"/>
      <c r="B2" s="138"/>
      <c r="C2" s="138"/>
      <c r="D2" s="138"/>
      <c r="E2" s="138"/>
      <c r="F2" s="138"/>
      <c r="G2" s="138"/>
      <c r="H2" s="138"/>
      <c r="I2" s="138"/>
      <c r="J2" s="410" t="s">
        <v>185</v>
      </c>
    </row>
    <row r="3" spans="1:23" ht="30" customHeight="1">
      <c r="A3" s="163" t="s">
        <v>3</v>
      </c>
      <c r="B3" s="164"/>
      <c r="C3" s="165"/>
      <c r="D3" s="164"/>
      <c r="E3" s="166"/>
      <c r="F3" s="166"/>
      <c r="G3" s="167"/>
      <c r="H3" s="167"/>
      <c r="I3" s="393" t="s">
        <v>125</v>
      </c>
      <c r="J3" s="168"/>
    </row>
    <row r="4" spans="1:23" ht="15" customHeight="1">
      <c r="A4" s="383" t="s">
        <v>4</v>
      </c>
      <c r="B4" s="384" t="s">
        <v>5</v>
      </c>
      <c r="C4" s="385" t="s">
        <v>17</v>
      </c>
      <c r="D4" s="386" t="s">
        <v>2</v>
      </c>
      <c r="E4" s="384" t="s">
        <v>63</v>
      </c>
      <c r="F4" s="384"/>
      <c r="G4" s="387" t="s">
        <v>94</v>
      </c>
      <c r="H4" s="388"/>
      <c r="I4" s="363"/>
      <c r="J4" s="169" t="s">
        <v>6</v>
      </c>
    </row>
    <row r="5" spans="1:23" ht="15" customHeight="1">
      <c r="A5" s="383"/>
      <c r="B5" s="384"/>
      <c r="C5" s="385"/>
      <c r="D5" s="386"/>
      <c r="E5" s="170" t="s">
        <v>7</v>
      </c>
      <c r="F5" s="170" t="s">
        <v>8</v>
      </c>
      <c r="G5" s="171" t="s">
        <v>88</v>
      </c>
      <c r="H5" s="171" t="s">
        <v>89</v>
      </c>
      <c r="I5" s="392"/>
      <c r="J5" s="172" t="s">
        <v>1</v>
      </c>
    </row>
    <row r="6" spans="1:23" ht="20.100000000000001" customHeight="1">
      <c r="A6" s="277" t="s">
        <v>20</v>
      </c>
      <c r="B6" s="278"/>
      <c r="C6" s="279">
        <v>1</v>
      </c>
      <c r="D6" s="280" t="s">
        <v>9</v>
      </c>
      <c r="E6" s="280">
        <f>노무임별단가!F4</f>
        <v>0</v>
      </c>
      <c r="F6" s="280">
        <f>C6*E6</f>
        <v>0</v>
      </c>
      <c r="G6" s="281">
        <f>노무임별단가!F5</f>
        <v>0</v>
      </c>
      <c r="H6" s="280">
        <f>C6*G6</f>
        <v>0</v>
      </c>
      <c r="I6" s="281">
        <f>F6+H6</f>
        <v>0</v>
      </c>
      <c r="J6" s="282"/>
    </row>
    <row r="7" spans="1:23" s="11" customFormat="1" ht="121.5" customHeight="1">
      <c r="A7" s="254" t="s">
        <v>66</v>
      </c>
      <c r="B7" s="81" t="s">
        <v>53</v>
      </c>
      <c r="C7" s="283">
        <v>8.69</v>
      </c>
      <c r="D7" s="284" t="s">
        <v>10</v>
      </c>
      <c r="E7" s="285">
        <f>노무임별단가!G4*1.5</f>
        <v>0</v>
      </c>
      <c r="F7" s="284">
        <f>C7*E7</f>
        <v>0</v>
      </c>
      <c r="G7" s="286">
        <f>노무임별단가!G5*1.5</f>
        <v>0</v>
      </c>
      <c r="H7" s="280">
        <f t="shared" ref="H7:H8" si="0">C7*G7</f>
        <v>0</v>
      </c>
      <c r="I7" s="281">
        <f>F7+H7</f>
        <v>0</v>
      </c>
      <c r="J7" s="287" t="s">
        <v>186</v>
      </c>
      <c r="K7" s="10" t="s">
        <v>67</v>
      </c>
      <c r="L7" s="10" t="s">
        <v>68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7" customFormat="1" ht="20.100000000000001" customHeight="1">
      <c r="A8" s="254" t="s">
        <v>118</v>
      </c>
      <c r="B8" s="81" t="s">
        <v>187</v>
      </c>
      <c r="C8" s="82">
        <v>0.67</v>
      </c>
      <c r="D8" s="284" t="s">
        <v>54</v>
      </c>
      <c r="E8" s="285">
        <f>노무임별단가!H4</f>
        <v>0</v>
      </c>
      <c r="F8" s="284">
        <f>C8*E8</f>
        <v>0</v>
      </c>
      <c r="G8" s="286">
        <f>노무임별단가!H5</f>
        <v>0</v>
      </c>
      <c r="H8" s="280">
        <f t="shared" si="0"/>
        <v>0</v>
      </c>
      <c r="I8" s="281">
        <f>ROUND(F8+H8,0)</f>
        <v>0</v>
      </c>
      <c r="J8" s="288" t="s">
        <v>191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7" customFormat="1" ht="20.100000000000001" customHeight="1" thickBot="1">
      <c r="A9" s="174" t="s">
        <v>18</v>
      </c>
      <c r="B9" s="175"/>
      <c r="C9" s="176"/>
      <c r="D9" s="177"/>
      <c r="E9" s="178"/>
      <c r="F9" s="179">
        <f>SUM(F6:F8)</f>
        <v>0</v>
      </c>
      <c r="G9" s="180"/>
      <c r="H9" s="179">
        <f>SUM(H6:H8)</f>
        <v>0</v>
      </c>
      <c r="I9" s="180">
        <f>F9+H9</f>
        <v>0</v>
      </c>
      <c r="J9" s="181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7" customFormat="1" ht="30" customHeight="1">
      <c r="A10" s="203" t="s">
        <v>16</v>
      </c>
      <c r="B10" s="204" t="s">
        <v>164</v>
      </c>
      <c r="C10" s="205"/>
      <c r="D10" s="173"/>
      <c r="E10" s="206"/>
      <c r="F10" s="206"/>
      <c r="G10" s="207"/>
      <c r="H10" s="207"/>
      <c r="I10" s="381" t="s">
        <v>91</v>
      </c>
      <c r="J10" s="208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7" customFormat="1" ht="15" customHeight="1">
      <c r="A11" s="383" t="s">
        <v>12</v>
      </c>
      <c r="B11" s="384" t="s">
        <v>5</v>
      </c>
      <c r="C11" s="385" t="s">
        <v>17</v>
      </c>
      <c r="D11" s="386" t="s">
        <v>2</v>
      </c>
      <c r="E11" s="384" t="str">
        <f>E4</f>
        <v>운   전   원</v>
      </c>
      <c r="F11" s="384"/>
      <c r="G11" s="387" t="s">
        <v>94</v>
      </c>
      <c r="H11" s="388"/>
      <c r="I11" s="381"/>
      <c r="J11" s="169" t="s">
        <v>6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s="7" customFormat="1" ht="15" customHeight="1">
      <c r="A12" s="383"/>
      <c r="B12" s="384"/>
      <c r="C12" s="385"/>
      <c r="D12" s="386"/>
      <c r="E12" s="170" t="s">
        <v>7</v>
      </c>
      <c r="F12" s="170" t="s">
        <v>8</v>
      </c>
      <c r="G12" s="171" t="s">
        <v>88</v>
      </c>
      <c r="H12" s="171" t="s">
        <v>89</v>
      </c>
      <c r="I12" s="382"/>
      <c r="J12" s="172" t="s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7" customFormat="1" ht="20.100000000000001" customHeight="1">
      <c r="A13" s="76" t="s">
        <v>102</v>
      </c>
      <c r="B13" s="74" t="s">
        <v>111</v>
      </c>
      <c r="C13" s="75">
        <f>45/1000</f>
        <v>4.4999999999999998E-2</v>
      </c>
      <c r="D13" s="77" t="s">
        <v>9</v>
      </c>
      <c r="E13" s="78">
        <f>SUM(F6+F7+F8)</f>
        <v>0</v>
      </c>
      <c r="F13" s="78">
        <f>INT(C13*E13)</f>
        <v>0</v>
      </c>
      <c r="G13" s="78">
        <f>SUM(H6+H7+H8)</f>
        <v>0</v>
      </c>
      <c r="H13" s="79">
        <f t="shared" ref="H13:H19" si="1">INT(C13*G13)</f>
        <v>0</v>
      </c>
      <c r="I13" s="91">
        <f t="shared" ref="I13:I19" si="2">F13+H13</f>
        <v>0</v>
      </c>
      <c r="J13" s="27" t="s">
        <v>60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8" customFormat="1" ht="20.100000000000001" customHeight="1">
      <c r="A14" s="80" t="s">
        <v>103</v>
      </c>
      <c r="B14" s="81" t="s">
        <v>110</v>
      </c>
      <c r="C14" s="82">
        <f>34.95/1000</f>
        <v>3.4950000000000002E-2</v>
      </c>
      <c r="D14" s="83" t="s">
        <v>55</v>
      </c>
      <c r="E14" s="79">
        <f>E13</f>
        <v>0</v>
      </c>
      <c r="F14" s="79">
        <f>C14*E14</f>
        <v>0</v>
      </c>
      <c r="G14" s="79">
        <f>G13</f>
        <v>0</v>
      </c>
      <c r="H14" s="79">
        <f t="shared" si="1"/>
        <v>0</v>
      </c>
      <c r="I14" s="91">
        <f t="shared" si="2"/>
        <v>0</v>
      </c>
      <c r="J14" s="28" t="s">
        <v>71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8" customFormat="1" ht="20.100000000000001" customHeight="1">
      <c r="A15" s="80" t="s">
        <v>104</v>
      </c>
      <c r="B15" s="81" t="s">
        <v>152</v>
      </c>
      <c r="C15" s="82">
        <v>1.7999999999999999E-2</v>
      </c>
      <c r="D15" s="83" t="s">
        <v>59</v>
      </c>
      <c r="E15" s="79">
        <f>SUM(F6+F7+F8)</f>
        <v>0</v>
      </c>
      <c r="F15" s="79">
        <f>INT(C15*E15)</f>
        <v>0</v>
      </c>
      <c r="G15" s="79">
        <f>SUM(H6+H7+H8)</f>
        <v>0</v>
      </c>
      <c r="H15" s="79">
        <f>INT(C15*G15)</f>
        <v>0</v>
      </c>
      <c r="I15" s="91">
        <f>F15+H15</f>
        <v>0</v>
      </c>
      <c r="J15" s="28" t="s">
        <v>160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s="8" customFormat="1" ht="20.100000000000001" customHeight="1">
      <c r="A16" s="80" t="s">
        <v>98</v>
      </c>
      <c r="B16" s="81" t="s">
        <v>96</v>
      </c>
      <c r="C16" s="82">
        <f>12.27/100</f>
        <v>0.12269999999999999</v>
      </c>
      <c r="D16" s="83" t="s">
        <v>55</v>
      </c>
      <c r="E16" s="79">
        <f>F14</f>
        <v>0</v>
      </c>
      <c r="F16" s="79">
        <f>INT(C16*E16)</f>
        <v>0</v>
      </c>
      <c r="G16" s="79">
        <f>H14</f>
        <v>0</v>
      </c>
      <c r="H16" s="79">
        <f t="shared" si="1"/>
        <v>0</v>
      </c>
      <c r="I16" s="91">
        <f t="shared" si="2"/>
        <v>0</v>
      </c>
      <c r="J16" s="28" t="s">
        <v>61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8" customFormat="1" ht="20.100000000000001" customHeight="1">
      <c r="A17" s="80" t="s">
        <v>99</v>
      </c>
      <c r="B17" s="81" t="s">
        <v>109</v>
      </c>
      <c r="C17" s="82">
        <f>10.5/1000</f>
        <v>1.0500000000000001E-2</v>
      </c>
      <c r="D17" s="83" t="s">
        <v>9</v>
      </c>
      <c r="E17" s="79">
        <f>E15</f>
        <v>0</v>
      </c>
      <c r="F17" s="79">
        <f t="shared" ref="F17:F19" si="3">INT(C17*E17)</f>
        <v>0</v>
      </c>
      <c r="G17" s="79">
        <f>G15</f>
        <v>0</v>
      </c>
      <c r="H17" s="79">
        <f t="shared" si="1"/>
        <v>0</v>
      </c>
      <c r="I17" s="91">
        <f t="shared" si="2"/>
        <v>0</v>
      </c>
      <c r="J17" s="28" t="s">
        <v>70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s="11" customFormat="1" ht="20.100000000000001" customHeight="1">
      <c r="A18" s="80" t="s">
        <v>100</v>
      </c>
      <c r="B18" s="81" t="s">
        <v>112</v>
      </c>
      <c r="C18" s="82">
        <v>5.9999999999999995E-4</v>
      </c>
      <c r="D18" s="83" t="s">
        <v>9</v>
      </c>
      <c r="E18" s="79">
        <f>SUM(F6+F7+F8)</f>
        <v>0</v>
      </c>
      <c r="F18" s="79">
        <f t="shared" si="3"/>
        <v>0</v>
      </c>
      <c r="G18" s="79">
        <f>SUM(H6+H7+H8)</f>
        <v>0</v>
      </c>
      <c r="H18" s="79">
        <f t="shared" si="1"/>
        <v>0</v>
      </c>
      <c r="I18" s="91">
        <f t="shared" si="2"/>
        <v>0</v>
      </c>
      <c r="J18" s="28" t="s">
        <v>62</v>
      </c>
      <c r="M18" s="12"/>
      <c r="N18" s="12" t="s">
        <v>101</v>
      </c>
      <c r="O18" s="12"/>
      <c r="P18" s="12"/>
      <c r="Q18" s="12"/>
      <c r="R18" s="12"/>
      <c r="S18" s="12"/>
      <c r="T18" s="12"/>
      <c r="U18" s="12"/>
      <c r="V18" s="12"/>
      <c r="W18" s="12"/>
    </row>
    <row r="19" spans="1:23" s="11" customFormat="1" ht="20.100000000000001" customHeight="1">
      <c r="A19" s="148" t="s">
        <v>69</v>
      </c>
      <c r="B19" s="149" t="s">
        <v>113</v>
      </c>
      <c r="C19" s="150">
        <v>2.9999999999999997E-5</v>
      </c>
      <c r="D19" s="151" t="s">
        <v>58</v>
      </c>
      <c r="E19" s="152">
        <f>SUM(F6+F7+F8)</f>
        <v>0</v>
      </c>
      <c r="F19" s="152">
        <f t="shared" si="3"/>
        <v>0</v>
      </c>
      <c r="G19" s="152">
        <f>SUM(H6+H7+H8)</f>
        <v>0</v>
      </c>
      <c r="H19" s="152">
        <f t="shared" si="1"/>
        <v>0</v>
      </c>
      <c r="I19" s="153">
        <f t="shared" si="2"/>
        <v>0</v>
      </c>
      <c r="J19" s="154" t="s">
        <v>119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7" customFormat="1" ht="20.100000000000001" customHeight="1" thickBot="1">
      <c r="A20" s="174" t="s">
        <v>18</v>
      </c>
      <c r="B20" s="175"/>
      <c r="C20" s="176"/>
      <c r="D20" s="177"/>
      <c r="E20" s="178"/>
      <c r="F20" s="179">
        <f>SUM(F13:F19)</f>
        <v>0</v>
      </c>
      <c r="G20" s="180"/>
      <c r="H20" s="179">
        <f>SUM(H13:H19)</f>
        <v>0</v>
      </c>
      <c r="I20" s="180">
        <f t="shared" ref="I20" si="4">F20+H20</f>
        <v>0</v>
      </c>
      <c r="J20" s="181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s="7" customFormat="1" ht="20.100000000000001" customHeight="1" thickBot="1">
      <c r="A21" s="219"/>
      <c r="B21" s="220"/>
      <c r="C21" s="221"/>
      <c r="D21" s="222"/>
      <c r="E21" s="223"/>
      <c r="F21" s="224"/>
      <c r="G21" s="224"/>
      <c r="H21" s="224"/>
      <c r="I21" s="224"/>
      <c r="J21" s="225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s="7" customFormat="1" ht="30" customHeight="1">
      <c r="A22" s="163" t="s">
        <v>16</v>
      </c>
      <c r="B22" s="226" t="s">
        <v>163</v>
      </c>
      <c r="C22" s="227"/>
      <c r="D22" s="228"/>
      <c r="E22" s="229"/>
      <c r="F22" s="229"/>
      <c r="G22" s="230"/>
      <c r="H22" s="230"/>
      <c r="I22" s="380" t="s">
        <v>91</v>
      </c>
      <c r="J22" s="187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s="7" customFormat="1" ht="15" customHeight="1">
      <c r="A23" s="383" t="s">
        <v>12</v>
      </c>
      <c r="B23" s="384" t="s">
        <v>5</v>
      </c>
      <c r="C23" s="385" t="s">
        <v>17</v>
      </c>
      <c r="D23" s="386" t="s">
        <v>2</v>
      </c>
      <c r="E23" s="384" t="s">
        <v>159</v>
      </c>
      <c r="F23" s="384"/>
      <c r="G23" s="387" t="s">
        <v>94</v>
      </c>
      <c r="H23" s="388"/>
      <c r="I23" s="381"/>
      <c r="J23" s="169" t="s">
        <v>161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s="7" customFormat="1" ht="15" customHeight="1">
      <c r="A24" s="383"/>
      <c r="B24" s="384"/>
      <c r="C24" s="385"/>
      <c r="D24" s="386"/>
      <c r="E24" s="217" t="s">
        <v>7</v>
      </c>
      <c r="F24" s="217" t="s">
        <v>8</v>
      </c>
      <c r="G24" s="218" t="s">
        <v>88</v>
      </c>
      <c r="H24" s="218" t="s">
        <v>89</v>
      </c>
      <c r="I24" s="382"/>
      <c r="J24" s="172" t="s">
        <v>1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s="7" customFormat="1" ht="20.100000000000001" customHeight="1">
      <c r="A25" s="80" t="s">
        <v>157</v>
      </c>
      <c r="B25" s="81" t="s">
        <v>154</v>
      </c>
      <c r="C25" s="82">
        <v>26</v>
      </c>
      <c r="D25" s="83" t="s">
        <v>162</v>
      </c>
      <c r="E25" s="79">
        <v>5000</v>
      </c>
      <c r="F25" s="79">
        <f>INT(C25*E25)</f>
        <v>130000</v>
      </c>
      <c r="G25" s="79">
        <v>5000</v>
      </c>
      <c r="H25" s="79">
        <f t="shared" ref="H25:H26" si="5">INT(C25*G25)</f>
        <v>130000</v>
      </c>
      <c r="I25" s="91">
        <f t="shared" ref="I25:I26" si="6">F25+H25</f>
        <v>260000</v>
      </c>
      <c r="J25" s="28" t="s">
        <v>188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s="8" customFormat="1" ht="20.100000000000001" customHeight="1" thickBot="1">
      <c r="A26" s="289" t="s">
        <v>158</v>
      </c>
      <c r="B26" s="290" t="s">
        <v>153</v>
      </c>
      <c r="C26" s="291">
        <v>26</v>
      </c>
      <c r="D26" s="292" t="s">
        <v>9</v>
      </c>
      <c r="E26" s="293">
        <v>3000</v>
      </c>
      <c r="F26" s="293">
        <f>C26*E26</f>
        <v>78000</v>
      </c>
      <c r="G26" s="293">
        <v>3000</v>
      </c>
      <c r="H26" s="293">
        <f t="shared" si="5"/>
        <v>78000</v>
      </c>
      <c r="I26" s="294">
        <f t="shared" si="6"/>
        <v>156000</v>
      </c>
      <c r="J26" s="295" t="s">
        <v>156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s="7" customFormat="1" ht="20.100000000000001" customHeight="1" thickBot="1">
      <c r="A27" s="174" t="s">
        <v>18</v>
      </c>
      <c r="B27" s="175"/>
      <c r="C27" s="176"/>
      <c r="D27" s="177"/>
      <c r="E27" s="178"/>
      <c r="F27" s="179">
        <f>SUM(F25:F26)</f>
        <v>208000</v>
      </c>
      <c r="G27" s="180"/>
      <c r="H27" s="179">
        <f>SUM(H25:H26)</f>
        <v>208000</v>
      </c>
      <c r="I27" s="180">
        <f t="shared" ref="I27" si="7">F27+H27</f>
        <v>416000</v>
      </c>
      <c r="J27" s="181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s="7" customFormat="1" ht="20.100000000000001" customHeight="1" thickBot="1">
      <c r="A28" s="219"/>
      <c r="B28" s="220"/>
      <c r="C28" s="221"/>
      <c r="D28" s="222"/>
      <c r="E28" s="223"/>
      <c r="F28" s="224"/>
      <c r="G28" s="224"/>
      <c r="H28" s="224"/>
      <c r="I28" s="224"/>
      <c r="J28" s="225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s="7" customFormat="1" ht="30" customHeight="1">
      <c r="A29" s="163" t="s">
        <v>95</v>
      </c>
      <c r="B29" s="182"/>
      <c r="C29" s="183"/>
      <c r="D29" s="184"/>
      <c r="E29" s="185"/>
      <c r="F29" s="185"/>
      <c r="G29" s="186"/>
      <c r="H29" s="186"/>
      <c r="I29" s="380" t="s">
        <v>125</v>
      </c>
      <c r="J29" s="187"/>
    </row>
    <row r="30" spans="1:23" s="7" customFormat="1" ht="18.95" customHeight="1">
      <c r="A30" s="389" t="s">
        <v>14</v>
      </c>
      <c r="B30" s="391" t="s">
        <v>5</v>
      </c>
      <c r="C30" s="385" t="s">
        <v>17</v>
      </c>
      <c r="D30" s="386" t="s">
        <v>2</v>
      </c>
      <c r="E30" s="384" t="str">
        <f>E4</f>
        <v>운   전   원</v>
      </c>
      <c r="F30" s="384"/>
      <c r="G30" s="387" t="s">
        <v>90</v>
      </c>
      <c r="H30" s="388"/>
      <c r="I30" s="381"/>
      <c r="J30" s="188"/>
    </row>
    <row r="31" spans="1:23" s="7" customFormat="1" ht="18.95" customHeight="1">
      <c r="A31" s="390"/>
      <c r="B31" s="392"/>
      <c r="C31" s="385"/>
      <c r="D31" s="386"/>
      <c r="E31" s="170" t="s">
        <v>7</v>
      </c>
      <c r="F31" s="170" t="s">
        <v>8</v>
      </c>
      <c r="G31" s="171" t="s">
        <v>88</v>
      </c>
      <c r="H31" s="171" t="s">
        <v>89</v>
      </c>
      <c r="I31" s="382"/>
      <c r="J31" s="172" t="s">
        <v>1</v>
      </c>
    </row>
    <row r="32" spans="1:23" s="7" customFormat="1" ht="33.75" customHeight="1">
      <c r="A32" s="73" t="s">
        <v>128</v>
      </c>
      <c r="B32" s="74" t="s">
        <v>207</v>
      </c>
      <c r="C32" s="75">
        <v>3</v>
      </c>
      <c r="D32" s="77" t="s">
        <v>9</v>
      </c>
      <c r="E32" s="152"/>
      <c r="F32" s="78">
        <f>C32*E32</f>
        <v>0</v>
      </c>
      <c r="G32" s="84"/>
      <c r="H32" s="84"/>
      <c r="I32" s="84">
        <f t="shared" ref="I32:I38" si="8">F32+H32</f>
        <v>0</v>
      </c>
      <c r="J32" s="30" t="s">
        <v>206</v>
      </c>
    </row>
    <row r="33" spans="1:10" s="7" customFormat="1" ht="20.100000000000001" customHeight="1">
      <c r="A33" s="85" t="s">
        <v>129</v>
      </c>
      <c r="B33" s="86" t="s">
        <v>172</v>
      </c>
      <c r="C33" s="87">
        <v>0.25</v>
      </c>
      <c r="D33" s="88" t="s">
        <v>51</v>
      </c>
      <c r="E33" s="89"/>
      <c r="F33" s="89">
        <f>C33*E33</f>
        <v>0</v>
      </c>
      <c r="G33" s="90"/>
      <c r="H33" s="90"/>
      <c r="I33" s="90">
        <f>F33+H33</f>
        <v>0</v>
      </c>
      <c r="J33" s="29" t="s">
        <v>173</v>
      </c>
    </row>
    <row r="34" spans="1:10" s="7" customFormat="1" ht="20.100000000000001" customHeight="1">
      <c r="A34" s="248" t="s">
        <v>170</v>
      </c>
      <c r="B34" s="249" t="s">
        <v>174</v>
      </c>
      <c r="C34" s="250">
        <v>3</v>
      </c>
      <c r="D34" s="251" t="s">
        <v>162</v>
      </c>
      <c r="E34" s="252"/>
      <c r="F34" s="252">
        <f t="shared" ref="F34:F35" si="9">C34*E34</f>
        <v>0</v>
      </c>
      <c r="G34" s="253"/>
      <c r="H34" s="253"/>
      <c r="I34" s="253">
        <f t="shared" ref="I34:I36" si="10">F34+H34</f>
        <v>0</v>
      </c>
      <c r="J34" s="297" t="s">
        <v>182</v>
      </c>
    </row>
    <row r="35" spans="1:10" s="7" customFormat="1" ht="20.100000000000001" customHeight="1">
      <c r="A35" s="248" t="s">
        <v>171</v>
      </c>
      <c r="B35" s="249" t="s">
        <v>180</v>
      </c>
      <c r="C35" s="250">
        <v>3</v>
      </c>
      <c r="D35" s="251" t="s">
        <v>9</v>
      </c>
      <c r="E35" s="252"/>
      <c r="F35" s="252">
        <f t="shared" si="9"/>
        <v>0</v>
      </c>
      <c r="G35" s="253"/>
      <c r="H35" s="253"/>
      <c r="I35" s="253">
        <f t="shared" si="10"/>
        <v>0</v>
      </c>
      <c r="J35" s="296" t="s">
        <v>179</v>
      </c>
    </row>
    <row r="36" spans="1:10" s="7" customFormat="1" ht="20.100000000000001" customHeight="1">
      <c r="A36" s="254" t="s">
        <v>177</v>
      </c>
      <c r="B36" s="81" t="s">
        <v>208</v>
      </c>
      <c r="C36" s="255">
        <v>0.25</v>
      </c>
      <c r="D36" s="83" t="s">
        <v>51</v>
      </c>
      <c r="E36" s="79"/>
      <c r="F36" s="79">
        <f>C36*E36</f>
        <v>0</v>
      </c>
      <c r="G36" s="234"/>
      <c r="H36" s="234"/>
      <c r="I36" s="90">
        <f t="shared" si="10"/>
        <v>0</v>
      </c>
      <c r="J36" s="27" t="str">
        <f>원가계산서!I20</f>
        <v>3(월)/12(월) × 현대카운티 어린이버스 장축 
35세이상 운전자기준 보험료</v>
      </c>
    </row>
    <row r="37" spans="1:10" s="7" customFormat="1" ht="20.100000000000001" customHeight="1">
      <c r="A37" s="248" t="s">
        <v>178</v>
      </c>
      <c r="B37" s="249" t="s">
        <v>190</v>
      </c>
      <c r="C37" s="250">
        <v>0.58199999999999996</v>
      </c>
      <c r="D37" s="251" t="s">
        <v>51</v>
      </c>
      <c r="E37" s="252"/>
      <c r="F37" s="252">
        <f>C37*E37</f>
        <v>0</v>
      </c>
      <c r="G37" s="253"/>
      <c r="H37" s="253"/>
      <c r="I37" s="253">
        <f t="shared" si="8"/>
        <v>0</v>
      </c>
      <c r="J37" s="31" t="s">
        <v>189</v>
      </c>
    </row>
    <row r="38" spans="1:10" ht="18.95" customHeight="1" thickBot="1">
      <c r="A38" s="174" t="s">
        <v>52</v>
      </c>
      <c r="B38" s="189"/>
      <c r="C38" s="190"/>
      <c r="D38" s="189"/>
      <c r="E38" s="189"/>
      <c r="F38" s="191">
        <f>SUM(F32:F37)</f>
        <v>0</v>
      </c>
      <c r="G38" s="192"/>
      <c r="H38" s="192"/>
      <c r="I38" s="192">
        <f t="shared" si="8"/>
        <v>0</v>
      </c>
      <c r="J38" s="193"/>
    </row>
    <row r="41" spans="1:10" ht="18.95" customHeight="1">
      <c r="F41" s="5"/>
      <c r="G41" s="231"/>
      <c r="H41" s="233"/>
      <c r="I41" s="232"/>
    </row>
    <row r="42" spans="1:10" ht="18.95" customHeight="1">
      <c r="F42" s="5"/>
      <c r="G42" s="231"/>
      <c r="H42" s="233"/>
      <c r="I42" s="231"/>
    </row>
    <row r="43" spans="1:10" ht="18.95" customHeight="1">
      <c r="F43" s="5"/>
      <c r="G43" s="231"/>
      <c r="H43" s="233"/>
      <c r="I43" s="231"/>
    </row>
    <row r="44" spans="1:10" ht="18.95" customHeight="1">
      <c r="F44" s="5"/>
      <c r="G44" s="231"/>
      <c r="H44" s="233"/>
      <c r="I44" s="231"/>
    </row>
    <row r="45" spans="1:10" ht="18.95" customHeight="1">
      <c r="F45" s="5"/>
      <c r="G45" s="231"/>
      <c r="H45" s="233"/>
      <c r="I45" s="231"/>
    </row>
    <row r="46" spans="1:10" ht="18.95" customHeight="1">
      <c r="F46" s="5"/>
      <c r="G46" s="231"/>
      <c r="H46" s="233"/>
      <c r="I46" s="231"/>
    </row>
    <row r="47" spans="1:10" ht="18.95" customHeight="1">
      <c r="F47" s="5"/>
      <c r="G47" s="231"/>
      <c r="H47" s="233"/>
      <c r="I47" s="231"/>
    </row>
    <row r="48" spans="1:10" ht="18.95" customHeight="1">
      <c r="F48" s="5"/>
      <c r="G48" s="231"/>
      <c r="H48" s="233"/>
      <c r="I48" s="231"/>
    </row>
    <row r="49" spans="6:9" ht="18.95" customHeight="1">
      <c r="F49" s="5"/>
      <c r="G49" s="231"/>
      <c r="H49" s="233"/>
      <c r="I49" s="231"/>
    </row>
    <row r="50" spans="6:9" ht="18.95" customHeight="1">
      <c r="G50" s="231"/>
      <c r="H50" s="231"/>
      <c r="I50" s="231"/>
    </row>
  </sheetData>
  <mergeCells count="29">
    <mergeCell ref="G30:H30"/>
    <mergeCell ref="I3:I5"/>
    <mergeCell ref="I10:I12"/>
    <mergeCell ref="I29:I31"/>
    <mergeCell ref="A1:J1"/>
    <mergeCell ref="B11:B12"/>
    <mergeCell ref="C4:C5"/>
    <mergeCell ref="D4:D5"/>
    <mergeCell ref="E4:F4"/>
    <mergeCell ref="E11:F11"/>
    <mergeCell ref="B4:B5"/>
    <mergeCell ref="A4:A5"/>
    <mergeCell ref="G4:H4"/>
    <mergeCell ref="G11:H11"/>
    <mergeCell ref="E30:F30"/>
    <mergeCell ref="D30:D31"/>
    <mergeCell ref="A11:A12"/>
    <mergeCell ref="D11:D12"/>
    <mergeCell ref="A30:A31"/>
    <mergeCell ref="C30:C31"/>
    <mergeCell ref="C11:C12"/>
    <mergeCell ref="B30:B31"/>
    <mergeCell ref="I22:I24"/>
    <mergeCell ref="A23:A24"/>
    <mergeCell ref="B23:B24"/>
    <mergeCell ref="C23:C24"/>
    <mergeCell ref="D23:D24"/>
    <mergeCell ref="E23:F23"/>
    <mergeCell ref="G23:H23"/>
  </mergeCells>
  <phoneticPr fontId="2" type="noConversion"/>
  <printOptions horizontalCentered="1"/>
  <pageMargins left="0.39370078740157483" right="0.39370078740157483" top="0.39370078740157483" bottom="0.19685039370078741" header="0.15748031496062992" footer="0.15748031496062992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"/>
  <sheetViews>
    <sheetView zoomScale="85" zoomScaleNormal="85" zoomScaleSheetLayoutView="85" workbookViewId="0">
      <selection sqref="A1:I1"/>
    </sheetView>
  </sheetViews>
  <sheetFormatPr defaultRowHeight="13.5"/>
  <cols>
    <col min="1" max="1" width="4.88671875" style="1" customWidth="1"/>
    <col min="2" max="2" width="8.33203125" style="1" bestFit="1" customWidth="1"/>
    <col min="3" max="3" width="6.5546875" style="1" customWidth="1"/>
    <col min="4" max="4" width="12" style="1" customWidth="1"/>
    <col min="5" max="5" width="23.5546875" style="1" customWidth="1"/>
    <col min="6" max="6" width="14.6640625" style="1" customWidth="1"/>
    <col min="7" max="7" width="20.77734375" style="1" customWidth="1"/>
    <col min="8" max="8" width="18.88671875" style="1" customWidth="1"/>
    <col min="9" max="9" width="29.88671875" style="1" customWidth="1"/>
    <col min="10" max="16384" width="8.88671875" style="1"/>
  </cols>
  <sheetData>
    <row r="1" spans="1:9" ht="64.5" customHeight="1">
      <c r="A1" s="396" t="s">
        <v>210</v>
      </c>
      <c r="B1" s="397"/>
      <c r="C1" s="397"/>
      <c r="D1" s="397"/>
      <c r="E1" s="397"/>
      <c r="F1" s="397"/>
      <c r="G1" s="397"/>
      <c r="H1" s="397"/>
      <c r="I1" s="397"/>
    </row>
    <row r="2" spans="1:9" ht="18" thickBot="1">
      <c r="A2" s="32"/>
      <c r="B2" s="32"/>
      <c r="C2" s="32"/>
      <c r="D2" s="32"/>
      <c r="E2" s="32"/>
      <c r="F2" s="32"/>
      <c r="G2" s="32"/>
      <c r="H2" s="32"/>
      <c r="I2" s="130" t="s">
        <v>124</v>
      </c>
    </row>
    <row r="3" spans="1:9" s="2" customFormat="1" ht="63" customHeight="1">
      <c r="A3" s="194" t="s">
        <v>138</v>
      </c>
      <c r="B3" s="195" t="s">
        <v>137</v>
      </c>
      <c r="C3" s="196" t="s">
        <v>76</v>
      </c>
      <c r="D3" s="196" t="s">
        <v>137</v>
      </c>
      <c r="E3" s="196" t="s">
        <v>139</v>
      </c>
      <c r="F3" s="196" t="s">
        <v>140</v>
      </c>
      <c r="G3" s="197" t="s">
        <v>141</v>
      </c>
      <c r="H3" s="197" t="s">
        <v>142</v>
      </c>
      <c r="I3" s="198" t="s">
        <v>143</v>
      </c>
    </row>
    <row r="4" spans="1:9" ht="74.25" customHeight="1">
      <c r="A4" s="102">
        <v>1</v>
      </c>
      <c r="B4" s="107" t="s">
        <v>144</v>
      </c>
      <c r="C4" s="131">
        <v>1</v>
      </c>
      <c r="D4" s="107" t="s">
        <v>144</v>
      </c>
      <c r="E4" s="108" t="s">
        <v>145</v>
      </c>
      <c r="F4" s="108">
        <f>'기본급 산출'!I4</f>
        <v>0</v>
      </c>
      <c r="G4" s="215">
        <f>H4/8</f>
        <v>0</v>
      </c>
      <c r="H4" s="298"/>
      <c r="I4" s="109" t="s">
        <v>150</v>
      </c>
    </row>
    <row r="5" spans="1:9" ht="74.25" customHeight="1" thickBot="1">
      <c r="A5" s="103">
        <v>2</v>
      </c>
      <c r="B5" s="110" t="s">
        <v>146</v>
      </c>
      <c r="C5" s="132">
        <v>2</v>
      </c>
      <c r="D5" s="110" t="s">
        <v>146</v>
      </c>
      <c r="E5" s="111" t="s">
        <v>147</v>
      </c>
      <c r="F5" s="111">
        <f>'기본급 산출'!I5</f>
        <v>0</v>
      </c>
      <c r="G5" s="216">
        <f>H5/8</f>
        <v>0</v>
      </c>
      <c r="H5" s="112"/>
      <c r="I5" s="113" t="s">
        <v>151</v>
      </c>
    </row>
    <row r="6" spans="1:9">
      <c r="A6" s="398"/>
      <c r="B6" s="398"/>
      <c r="C6" s="398"/>
      <c r="D6" s="398"/>
      <c r="E6" s="398"/>
      <c r="F6" s="398"/>
      <c r="G6" s="398"/>
      <c r="H6" s="398"/>
      <c r="I6" s="398"/>
    </row>
    <row r="7" spans="1:9">
      <c r="A7" s="399"/>
      <c r="B7" s="399"/>
      <c r="C7" s="399"/>
      <c r="D7" s="399"/>
      <c r="E7" s="399"/>
      <c r="F7" s="399"/>
      <c r="G7" s="399"/>
      <c r="H7" s="399"/>
      <c r="I7" s="399"/>
    </row>
  </sheetData>
  <mergeCells count="2">
    <mergeCell ref="A1:I1"/>
    <mergeCell ref="A6:I7"/>
  </mergeCells>
  <phoneticPr fontId="2" type="noConversion"/>
  <printOptions horizontalCentered="1"/>
  <pageMargins left="0.19685039370078741" right="0.19685039370078741" top="0.39370078740157483" bottom="0.39370078740157483" header="0.39370078740157483" footer="0.51181102362204722"/>
  <pageSetup paperSize="9" scale="8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sqref="A1:I1"/>
    </sheetView>
  </sheetViews>
  <sheetFormatPr defaultRowHeight="13.5"/>
  <cols>
    <col min="1" max="1" width="6.5546875" customWidth="1"/>
    <col min="2" max="2" width="11.33203125" customWidth="1"/>
    <col min="3" max="3" width="18" bestFit="1" customWidth="1"/>
    <col min="4" max="4" width="20.109375" bestFit="1" customWidth="1"/>
    <col min="5" max="5" width="21.88671875" bestFit="1" customWidth="1"/>
    <col min="6" max="6" width="21.44140625" bestFit="1" customWidth="1"/>
    <col min="7" max="7" width="19" bestFit="1" customWidth="1"/>
    <col min="8" max="8" width="8.77734375" bestFit="1" customWidth="1"/>
    <col min="9" max="11" width="15" bestFit="1" customWidth="1"/>
  </cols>
  <sheetData>
    <row r="1" spans="1:11" ht="36.75" customHeight="1">
      <c r="A1" s="400" t="s">
        <v>127</v>
      </c>
      <c r="B1" s="400"/>
      <c r="C1" s="400"/>
      <c r="D1" s="400"/>
      <c r="E1" s="400"/>
      <c r="F1" s="400"/>
      <c r="G1" s="400"/>
      <c r="H1" s="400"/>
      <c r="I1" s="400"/>
      <c r="J1" s="247"/>
      <c r="K1" s="247"/>
    </row>
    <row r="2" spans="1:11" ht="14.25" customHeight="1" thickBot="1">
      <c r="I2" s="129" t="s">
        <v>123</v>
      </c>
    </row>
    <row r="3" spans="1:11" ht="24.95" customHeight="1">
      <c r="A3" s="199" t="s">
        <v>76</v>
      </c>
      <c r="B3" s="200" t="s">
        <v>122</v>
      </c>
      <c r="C3" s="200" t="s">
        <v>176</v>
      </c>
      <c r="D3" s="201" t="s">
        <v>77</v>
      </c>
      <c r="E3" s="201" t="s">
        <v>78</v>
      </c>
      <c r="F3" s="201" t="s">
        <v>79</v>
      </c>
      <c r="G3" s="201" t="s">
        <v>80</v>
      </c>
      <c r="H3" s="201" t="s">
        <v>81</v>
      </c>
      <c r="I3" s="202" t="s">
        <v>82</v>
      </c>
    </row>
    <row r="4" spans="1:11" ht="24.95" customHeight="1">
      <c r="A4" s="114">
        <v>1</v>
      </c>
      <c r="B4" s="115" t="s">
        <v>63</v>
      </c>
      <c r="C4" s="116">
        <f>D8</f>
        <v>0</v>
      </c>
      <c r="D4" s="117"/>
      <c r="E4" s="118">
        <f>D4/8</f>
        <v>0</v>
      </c>
      <c r="F4" s="118">
        <f>D10</f>
        <v>0</v>
      </c>
      <c r="G4" s="118">
        <f>F4/87.745%</f>
        <v>0</v>
      </c>
      <c r="H4" s="118">
        <f>MAX(E4,G4)</f>
        <v>0</v>
      </c>
      <c r="I4" s="119">
        <f>ROUNDUP(H4*209,-1)</f>
        <v>0</v>
      </c>
    </row>
    <row r="5" spans="1:11" ht="24.95" customHeight="1" thickBot="1">
      <c r="A5" s="120">
        <v>2</v>
      </c>
      <c r="B5" s="121" t="s">
        <v>94</v>
      </c>
      <c r="C5" s="122">
        <f>D9</f>
        <v>0</v>
      </c>
      <c r="D5" s="123">
        <f>C5</f>
        <v>0</v>
      </c>
      <c r="E5" s="124">
        <f>D5/8</f>
        <v>0</v>
      </c>
      <c r="F5" s="125">
        <f>D10</f>
        <v>0</v>
      </c>
      <c r="G5" s="125">
        <f>ROUND(F5/87.745%,0)</f>
        <v>0</v>
      </c>
      <c r="H5" s="125">
        <f>MAX(E5,G5)</f>
        <v>0</v>
      </c>
      <c r="I5" s="126">
        <f>ROUNDUP(H5*209,-1)</f>
        <v>0</v>
      </c>
    </row>
    <row r="6" spans="1:11" ht="14.25" thickBot="1"/>
    <row r="7" spans="1:11" ht="22.5" customHeight="1">
      <c r="A7" s="403" t="s">
        <v>72</v>
      </c>
      <c r="B7" s="404"/>
      <c r="C7" s="404"/>
      <c r="D7" s="157" t="s">
        <v>73</v>
      </c>
      <c r="E7" s="404" t="s">
        <v>74</v>
      </c>
      <c r="F7" s="407"/>
    </row>
    <row r="8" spans="1:11" ht="22.5" customHeight="1">
      <c r="A8" s="405" t="s">
        <v>148</v>
      </c>
      <c r="B8" s="406"/>
      <c r="C8" s="406"/>
      <c r="D8" s="127"/>
      <c r="E8" s="406" t="s">
        <v>120</v>
      </c>
      <c r="F8" s="408"/>
    </row>
    <row r="9" spans="1:11" ht="22.5" customHeight="1">
      <c r="A9" s="405" t="s">
        <v>149</v>
      </c>
      <c r="B9" s="406"/>
      <c r="C9" s="406"/>
      <c r="D9" s="127"/>
      <c r="E9" s="406" t="s">
        <v>121</v>
      </c>
      <c r="F9" s="408"/>
    </row>
    <row r="10" spans="1:11" ht="22.5" customHeight="1" thickBot="1">
      <c r="A10" s="401" t="s">
        <v>75</v>
      </c>
      <c r="B10" s="402"/>
      <c r="C10" s="402"/>
      <c r="D10" s="128"/>
      <c r="E10" s="402"/>
      <c r="F10" s="409"/>
    </row>
    <row r="15" spans="1:11">
      <c r="D15" s="9"/>
    </row>
    <row r="16" spans="1:11">
      <c r="G16" s="147"/>
    </row>
  </sheetData>
  <mergeCells count="9">
    <mergeCell ref="A1:I1"/>
    <mergeCell ref="A10:C10"/>
    <mergeCell ref="A7:C7"/>
    <mergeCell ref="A8:C8"/>
    <mergeCell ref="A9:C9"/>
    <mergeCell ref="E7:F7"/>
    <mergeCell ref="E8:F8"/>
    <mergeCell ref="E9:F9"/>
    <mergeCell ref="E10:F1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원가계산 총괄표</vt:lpstr>
      <vt:lpstr>원가계산서</vt:lpstr>
      <vt:lpstr>설계내역서</vt:lpstr>
      <vt:lpstr>노무임별단가</vt:lpstr>
      <vt:lpstr>기본급 산출</vt:lpstr>
      <vt:lpstr>노무임별단가!Print_Area</vt:lpstr>
      <vt:lpstr>설계내역서!Print_Area</vt:lpstr>
      <vt:lpstr>'원가계산 총괄표'!Print_Area</vt:lpstr>
      <vt:lpstr>원가계산서!Print_Area</vt:lpstr>
      <vt:lpstr>설계내역서!Print_Titles</vt:lpstr>
      <vt:lpstr>원가계산서!Print_Titles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2022-09-05T04:51:47Z</cp:lastPrinted>
  <dcterms:created xsi:type="dcterms:W3CDTF">2010-11-24T06:29:57Z</dcterms:created>
  <dcterms:modified xsi:type="dcterms:W3CDTF">2022-09-14T15:54:49Z</dcterms:modified>
</cp:coreProperties>
</file>