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10.계    약\2.계약\1.입찰\6.과천시청소년수련관 셔틀버스 운행 용역\5.재공고입찰\2.공고문(신규입찰)\"/>
    </mc:Choice>
  </mc:AlternateContent>
  <bookViews>
    <workbookView xWindow="0" yWindow="0" windowWidth="28800" windowHeight="12255"/>
  </bookViews>
  <sheets>
    <sheet name="원가계산 총괄표" sheetId="9" r:id="rId1"/>
    <sheet name="원가계산서" sheetId="6" r:id="rId2"/>
    <sheet name="설계내역서" sheetId="2" r:id="rId3"/>
    <sheet name="노무임별단가" sheetId="3" r:id="rId4"/>
    <sheet name="기본급 산출" sheetId="10" r:id="rId5"/>
  </sheets>
  <definedNames>
    <definedName name="_xlnm.Print_Area" localSheetId="3">노무임별단가!$A$1:$I$12</definedName>
    <definedName name="_xlnm.Print_Area" localSheetId="2">설계내역서!$A$1:$J$29</definedName>
    <definedName name="_xlnm.Print_Area" localSheetId="0">'원가계산 총괄표'!$A$1:$E$28</definedName>
    <definedName name="_xlnm.Print_Area" localSheetId="1">원가계산서!$A$1:$I$27</definedName>
    <definedName name="_xlnm.Print_Titles" localSheetId="2">설계내역서!$A:$A</definedName>
    <definedName name="_xlnm.Print_Titles" localSheetId="1">원가계산서!$C:$C</definedName>
  </definedNames>
  <calcPr calcId="162913"/>
</workbook>
</file>

<file path=xl/calcChain.xml><?xml version="1.0" encoding="utf-8"?>
<calcChain xmlns="http://schemas.openxmlformats.org/spreadsheetml/2006/main">
  <c r="G4" i="3" l="1"/>
  <c r="G5" i="3"/>
  <c r="G5" i="10" l="1"/>
  <c r="H5" i="10" s="1"/>
  <c r="C5" i="10"/>
  <c r="E5" i="10" s="1"/>
  <c r="F5" i="10" s="1"/>
  <c r="G4" i="10"/>
  <c r="H4" i="10" s="1"/>
  <c r="F4" i="10"/>
  <c r="D4" i="10"/>
  <c r="C4" i="10"/>
  <c r="I4" i="10" l="1"/>
  <c r="J4" i="10" s="1"/>
  <c r="F4" i="3" s="1"/>
  <c r="I5" i="10"/>
  <c r="J5" i="10" s="1"/>
  <c r="F5" i="3" s="1"/>
  <c r="E18" i="9"/>
  <c r="C20" i="9"/>
  <c r="C19" i="9"/>
  <c r="C18" i="9"/>
  <c r="C17" i="9"/>
  <c r="E6" i="9"/>
  <c r="F28" i="2"/>
  <c r="I28" i="2" s="1"/>
  <c r="E19" i="6" l="1"/>
  <c r="E20" i="9" l="1"/>
  <c r="E17" i="9" l="1"/>
  <c r="E19" i="9"/>
  <c r="E5" i="9"/>
  <c r="E14" i="9"/>
  <c r="E13" i="9"/>
  <c r="E12" i="9"/>
  <c r="E11" i="9"/>
  <c r="E10" i="9"/>
  <c r="E9" i="9"/>
  <c r="E8" i="9"/>
  <c r="H16" i="6" l="1"/>
  <c r="D17" i="9" s="1"/>
  <c r="I19" i="6"/>
  <c r="H14" i="6"/>
  <c r="D15" i="9" s="1"/>
  <c r="F25" i="2"/>
  <c r="C15" i="2"/>
  <c r="C14" i="2" l="1"/>
  <c r="C16" i="2"/>
  <c r="I25" i="2" l="1"/>
  <c r="F26" i="2"/>
  <c r="F27" i="2"/>
  <c r="I27" i="2" s="1"/>
  <c r="C17" i="2"/>
  <c r="F29" i="2" l="1"/>
  <c r="I26" i="2"/>
  <c r="D20" i="9"/>
  <c r="E6" i="2" l="1"/>
  <c r="G7" i="2"/>
  <c r="H7" i="2" s="1"/>
  <c r="G6" i="2"/>
  <c r="H6" i="2" s="1"/>
  <c r="G8" i="2" l="1"/>
  <c r="H8" i="2" s="1"/>
  <c r="E7" i="2"/>
  <c r="G13" i="2" l="1"/>
  <c r="G14" i="2" s="1"/>
  <c r="H14" i="2" s="1"/>
  <c r="G16" i="2" s="1"/>
  <c r="H16" i="2" s="1"/>
  <c r="G19" i="2"/>
  <c r="H19" i="2" s="1"/>
  <c r="G15" i="2"/>
  <c r="H15" i="2" s="1"/>
  <c r="G18" i="2"/>
  <c r="H18" i="2" s="1"/>
  <c r="H9" i="2"/>
  <c r="F7" i="2"/>
  <c r="G17" i="2" l="1"/>
  <c r="H17" i="2" s="1"/>
  <c r="I7" i="2"/>
  <c r="D4" i="6" s="1"/>
  <c r="H4" i="6" s="1"/>
  <c r="E8" i="2"/>
  <c r="F8" i="2" l="1"/>
  <c r="I8" i="2" s="1"/>
  <c r="D15" i="6"/>
  <c r="F6" i="2" l="1"/>
  <c r="E15" i="2" l="1"/>
  <c r="E19" i="2"/>
  <c r="F19" i="2" s="1"/>
  <c r="E18" i="2"/>
  <c r="E13" i="2"/>
  <c r="I6" i="2"/>
  <c r="D3" i="6" s="1"/>
  <c r="H18" i="6"/>
  <c r="H17" i="6"/>
  <c r="D18" i="9" s="1"/>
  <c r="F18" i="2" l="1"/>
  <c r="I18" i="2" s="1"/>
  <c r="D19" i="9"/>
  <c r="I19" i="2"/>
  <c r="C13" i="2" l="1"/>
  <c r="H13" i="2" s="1"/>
  <c r="H20" i="2" s="1"/>
  <c r="H15" i="6" l="1"/>
  <c r="E5" i="6"/>
  <c r="H5" i="6" s="1"/>
  <c r="E3" i="6"/>
  <c r="H3" i="6" s="1"/>
  <c r="D19" i="6"/>
  <c r="E23" i="2"/>
  <c r="E11" i="2"/>
  <c r="H19" i="6" l="1"/>
  <c r="D16" i="9"/>
  <c r="D6" i="9" l="1"/>
  <c r="D13" i="6"/>
  <c r="H13" i="6" s="1"/>
  <c r="I29" i="2"/>
  <c r="D5" i="9"/>
  <c r="D4" i="9" l="1"/>
  <c r="D14" i="9"/>
  <c r="F13" i="2"/>
  <c r="I13" i="2" s="1"/>
  <c r="F9" i="2" l="1"/>
  <c r="I9" i="2" s="1"/>
  <c r="D7" i="6"/>
  <c r="H7" i="6" s="1"/>
  <c r="E17" i="2"/>
  <c r="F15" i="2"/>
  <c r="I15" i="2" s="1"/>
  <c r="D9" i="6" s="1"/>
  <c r="H9" i="6" s="1"/>
  <c r="E14" i="2"/>
  <c r="D12" i="6" l="1"/>
  <c r="D8" i="9"/>
  <c r="D10" i="9"/>
  <c r="F14" i="2"/>
  <c r="I14" i="2" s="1"/>
  <c r="D8" i="6" s="1"/>
  <c r="H8" i="6" s="1"/>
  <c r="F17" i="2"/>
  <c r="I17" i="2" s="1"/>
  <c r="H6" i="6"/>
  <c r="D7" i="9" s="1"/>
  <c r="H12" i="6" l="1"/>
  <c r="D13" i="9" s="1"/>
  <c r="D10" i="6"/>
  <c r="D9" i="9"/>
  <c r="E16" i="2"/>
  <c r="H10" i="6" l="1"/>
  <c r="F16" i="2"/>
  <c r="D11" i="9" l="1"/>
  <c r="F20" i="2"/>
  <c r="I20" i="2" s="1"/>
  <c r="I16" i="2"/>
  <c r="D11" i="6" s="1"/>
  <c r="H11" i="6" l="1"/>
  <c r="H20" i="6" l="1"/>
  <c r="F21" i="6" s="1"/>
  <c r="F22" i="6" s="1"/>
  <c r="D12" i="9"/>
  <c r="F23" i="6" l="1"/>
  <c r="D22" i="9"/>
  <c r="D21" i="9"/>
  <c r="F24" i="6" l="1"/>
  <c r="D25" i="9" s="1"/>
  <c r="D23" i="9"/>
  <c r="D24" i="9"/>
  <c r="F25" i="6" l="1"/>
  <c r="D26" i="9" s="1"/>
  <c r="D27" i="9" s="1"/>
  <c r="D28" i="9" s="1"/>
  <c r="F26" i="6" l="1"/>
  <c r="F27" i="6" s="1"/>
</calcChain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계산식: (((40시간+8시간)/7일)*365일)/12월
=209시간</t>
        </r>
      </text>
    </comment>
  </commentList>
</comments>
</file>

<file path=xl/sharedStrings.xml><?xml version="1.0" encoding="utf-8"?>
<sst xmlns="http://schemas.openxmlformats.org/spreadsheetml/2006/main" count="258" uniqueCount="189">
  <si>
    <t>임금채권보장보험</t>
    <phoneticPr fontId="2" type="noConversion"/>
  </si>
  <si>
    <t>비                    고</t>
    <phoneticPr fontId="2" type="noConversion"/>
  </si>
  <si>
    <t>단위</t>
    <phoneticPr fontId="2" type="noConversion"/>
  </si>
  <si>
    <t>[인   건   비]</t>
    <phoneticPr fontId="2" type="noConversion"/>
  </si>
  <si>
    <t>구           분</t>
    <phoneticPr fontId="2" type="noConversion"/>
  </si>
  <si>
    <t>산      출      근      거</t>
    <phoneticPr fontId="2" type="noConversion"/>
  </si>
  <si>
    <t>월/인당</t>
    <phoneticPr fontId="2" type="noConversion"/>
  </si>
  <si>
    <t>단  가</t>
    <phoneticPr fontId="2" type="noConversion"/>
  </si>
  <si>
    <t>금    액</t>
    <phoneticPr fontId="2" type="noConversion"/>
  </si>
  <si>
    <t>월</t>
    <phoneticPr fontId="2" type="noConversion"/>
  </si>
  <si>
    <t>hr</t>
    <phoneticPr fontId="2" type="noConversion"/>
  </si>
  <si>
    <t>일</t>
    <phoneticPr fontId="2" type="noConversion"/>
  </si>
  <si>
    <t>구                 분</t>
    <phoneticPr fontId="2" type="noConversion"/>
  </si>
  <si>
    <t>노인장기요양보험</t>
    <phoneticPr fontId="2" type="noConversion"/>
  </si>
  <si>
    <t>구             분</t>
    <phoneticPr fontId="2" type="noConversion"/>
  </si>
  <si>
    <t>단   가</t>
    <phoneticPr fontId="2" type="noConversion"/>
  </si>
  <si>
    <t>[경        비]</t>
    <phoneticPr fontId="2" type="noConversion"/>
  </si>
  <si>
    <t>수   량</t>
    <phoneticPr fontId="2" type="noConversion"/>
  </si>
  <si>
    <t>소계</t>
    <phoneticPr fontId="2" type="noConversion"/>
  </si>
  <si>
    <t>대</t>
    <phoneticPr fontId="2" type="noConversion"/>
  </si>
  <si>
    <t>1) 기    본     급</t>
    <phoneticPr fontId="2" type="noConversion"/>
  </si>
  <si>
    <t>수량</t>
    <phoneticPr fontId="2" type="noConversion"/>
  </si>
  <si>
    <t xml:space="preserve"> ① + ②</t>
    <phoneticPr fontId="2" type="noConversion"/>
  </si>
  <si>
    <t xml:space="preserve"> ⑦ 의 10%</t>
    <phoneticPr fontId="2" type="noConversion"/>
  </si>
  <si>
    <t xml:space="preserve"> ⑦ + ⑧</t>
    <phoneticPr fontId="2" type="noConversion"/>
  </si>
  <si>
    <t xml:space="preserve"> ③ + ④</t>
    <phoneticPr fontId="2" type="noConversion"/>
  </si>
  <si>
    <t>제
세
공
과
금</t>
    <phoneticPr fontId="2" type="noConversion"/>
  </si>
  <si>
    <t xml:space="preserve"> (⑤ - 재료비)의 10% 이내</t>
    <phoneticPr fontId="2" type="noConversion"/>
  </si>
  <si>
    <t>재
료
비</t>
    <phoneticPr fontId="2" type="noConversion"/>
  </si>
  <si>
    <t>③ 순        원          가</t>
    <phoneticPr fontId="2" type="noConversion"/>
  </si>
  <si>
    <t>④ 일   반   관   리   비</t>
    <phoneticPr fontId="2" type="noConversion"/>
  </si>
  <si>
    <t>⑤ 일반관리비 합산원가</t>
    <phoneticPr fontId="2" type="noConversion"/>
  </si>
  <si>
    <t>⑥ 이                     윤</t>
    <phoneticPr fontId="2" type="noConversion"/>
  </si>
  <si>
    <t>⑦ 이 윤  합  산   원 가</t>
    <phoneticPr fontId="2" type="noConversion"/>
  </si>
  <si>
    <t>⑧ 부   가   가   치   세</t>
    <phoneticPr fontId="2" type="noConversion"/>
  </si>
  <si>
    <t>총      용      역     비</t>
    <phoneticPr fontId="2" type="noConversion"/>
  </si>
  <si>
    <t>소     계</t>
    <phoneticPr fontId="2" type="noConversion"/>
  </si>
  <si>
    <t>-</t>
    <phoneticPr fontId="2" type="noConversion"/>
  </si>
  <si>
    <t>②
경
비</t>
    <phoneticPr fontId="2" type="noConversion"/>
  </si>
  <si>
    <t>기    본     급</t>
    <phoneticPr fontId="2" type="noConversion"/>
  </si>
  <si>
    <t>연장근로수당</t>
    <phoneticPr fontId="2" type="noConversion"/>
  </si>
  <si>
    <t>국   민    연    금</t>
    <phoneticPr fontId="2" type="noConversion"/>
  </si>
  <si>
    <t>건  강  보  험  료</t>
    <phoneticPr fontId="2" type="noConversion"/>
  </si>
  <si>
    <t>산  재  보  험  료</t>
    <phoneticPr fontId="2" type="noConversion"/>
  </si>
  <si>
    <t>고  용  보  험  료</t>
    <phoneticPr fontId="2" type="noConversion"/>
  </si>
  <si>
    <t>단위</t>
    <phoneticPr fontId="2" type="noConversion"/>
  </si>
  <si>
    <t>월</t>
    <phoneticPr fontId="2" type="noConversion"/>
  </si>
  <si>
    <t>구     분</t>
    <phoneticPr fontId="2" type="noConversion"/>
  </si>
  <si>
    <t>비    고</t>
    <phoneticPr fontId="2" type="noConversion"/>
  </si>
  <si>
    <t>감  가  상  각  비</t>
    <phoneticPr fontId="2" type="noConversion"/>
  </si>
  <si>
    <t>제
세
공
과
금</t>
    <phoneticPr fontId="2" type="noConversion"/>
  </si>
  <si>
    <t>대</t>
    <phoneticPr fontId="2" type="noConversion"/>
  </si>
  <si>
    <t>소계</t>
    <phoneticPr fontId="2" type="noConversion"/>
  </si>
  <si>
    <t>시급 x 1.5×연장시간</t>
    <phoneticPr fontId="2" type="noConversion"/>
  </si>
  <si>
    <t>일</t>
    <phoneticPr fontId="2" type="noConversion"/>
  </si>
  <si>
    <t>월</t>
    <phoneticPr fontId="2" type="noConversion"/>
  </si>
  <si>
    <t>석면피해구제분담금</t>
    <phoneticPr fontId="2" type="noConversion"/>
  </si>
  <si>
    <t>월</t>
    <phoneticPr fontId="2" type="noConversion"/>
  </si>
  <si>
    <t>월</t>
    <phoneticPr fontId="2" type="noConversion"/>
  </si>
  <si>
    <t>월</t>
    <phoneticPr fontId="2" type="noConversion"/>
  </si>
  <si>
    <t>산업재해보상보험법(운수관련 서비스업)</t>
    <phoneticPr fontId="2" type="noConversion"/>
  </si>
  <si>
    <t>국민연금법 제88조</t>
    <phoneticPr fontId="2" type="noConversion"/>
  </si>
  <si>
    <t>노인장기요양보험법 제9조</t>
    <phoneticPr fontId="2" type="noConversion"/>
  </si>
  <si>
    <t>임금채권보장보험법 제9조</t>
    <phoneticPr fontId="2" type="noConversion"/>
  </si>
  <si>
    <t>운   전   원</t>
    <phoneticPr fontId="2" type="noConversion"/>
  </si>
  <si>
    <t>대</t>
    <phoneticPr fontId="2" type="noConversion"/>
  </si>
  <si>
    <t>차량검사료</t>
    <phoneticPr fontId="2" type="noConversion"/>
  </si>
  <si>
    <t>2) 연장근로수당</t>
    <phoneticPr fontId="2" type="noConversion"/>
  </si>
  <si>
    <t xml:space="preserve">1월-21,5
2월-21,4
3월-23,4
4월-21,5
5월-22,4
6월-22,4
7월-21,5
8월-23,4
9월-22,4
10월-21,5
11월-22,4
12월-22,5
</t>
    <phoneticPr fontId="2" type="noConversion"/>
  </si>
  <si>
    <t>평일 261hr
토요일 53hr</t>
    <phoneticPr fontId="2" type="noConversion"/>
  </si>
  <si>
    <t>7) 석면피해구제분담금</t>
    <phoneticPr fontId="2" type="noConversion"/>
  </si>
  <si>
    <t>고용보험법 제6조(실업급여-0.8%, 직업능력개발사업(150인 미만 기업)-0.25%)</t>
    <phoneticPr fontId="2" type="noConversion"/>
  </si>
  <si>
    <t>국민건강보험법 제69,73조</t>
    <phoneticPr fontId="2" type="noConversion"/>
  </si>
  <si>
    <t>입력내용 구분</t>
  </si>
  <si>
    <t>입력값</t>
  </si>
  <si>
    <t>비고</t>
  </si>
  <si>
    <t>해당년도 최저임금</t>
  </si>
  <si>
    <t>구분</t>
  </si>
  <si>
    <t>시중노임단가 기준 1</t>
  </si>
  <si>
    <t>시중노임단가 1일 임금</t>
  </si>
  <si>
    <t>시중노임단가 1시간 시급</t>
  </si>
  <si>
    <t>해당년도 최저임금(시급)</t>
  </si>
  <si>
    <t>낙찰율 적용 최저시급</t>
  </si>
  <si>
    <t>결정시급</t>
  </si>
  <si>
    <t>기본급(209시간)</t>
  </si>
  <si>
    <t>건  강  보  험  료</t>
    <phoneticPr fontId="2" type="noConversion"/>
  </si>
  <si>
    <t>월</t>
    <phoneticPr fontId="2" type="noConversion"/>
  </si>
  <si>
    <t>산  재  보  험  료</t>
    <phoneticPr fontId="2" type="noConversion"/>
  </si>
  <si>
    <t>고  용  보  험  료</t>
    <phoneticPr fontId="2" type="noConversion"/>
  </si>
  <si>
    <t>노인장기요양보험</t>
    <phoneticPr fontId="2" type="noConversion"/>
  </si>
  <si>
    <t>단가</t>
    <phoneticPr fontId="2" type="noConversion"/>
  </si>
  <si>
    <t>금액</t>
    <phoneticPr fontId="2" type="noConversion"/>
  </si>
  <si>
    <t>탑승 보호자</t>
    <phoneticPr fontId="2" type="noConversion"/>
  </si>
  <si>
    <t>합계</t>
    <phoneticPr fontId="2" type="noConversion"/>
  </si>
  <si>
    <t>⑥ 이                   윤</t>
    <phoneticPr fontId="2" type="noConversion"/>
  </si>
  <si>
    <t xml:space="preserve"> ⑤ + ⑥</t>
    <phoneticPr fontId="2" type="noConversion"/>
  </si>
  <si>
    <t>동승 보호자</t>
    <phoneticPr fontId="2" type="noConversion"/>
  </si>
  <si>
    <t>[경       비]</t>
    <phoneticPr fontId="2" type="noConversion"/>
  </si>
  <si>
    <t>건강보험료 x (12.27/100)</t>
    <phoneticPr fontId="2" type="noConversion"/>
  </si>
  <si>
    <t>대</t>
  </si>
  <si>
    <t>4) 노인장기요양보험</t>
    <phoneticPr fontId="2" type="noConversion"/>
  </si>
  <si>
    <t>5) 고  용  보  험  료</t>
    <phoneticPr fontId="2" type="noConversion"/>
  </si>
  <si>
    <t>6) 임금채권보장보험</t>
    <phoneticPr fontId="2" type="noConversion"/>
  </si>
  <si>
    <t xml:space="preserve"> </t>
    <phoneticPr fontId="2" type="noConversion"/>
  </si>
  <si>
    <t>1) 국   민    연    금</t>
    <phoneticPr fontId="2" type="noConversion"/>
  </si>
  <si>
    <t>2) 건  강  보  험  료</t>
    <phoneticPr fontId="2" type="noConversion"/>
  </si>
  <si>
    <t>3) 산  재  보  험  료</t>
    <phoneticPr fontId="2" type="noConversion"/>
  </si>
  <si>
    <t>유        류       비</t>
    <phoneticPr fontId="2" type="noConversion"/>
  </si>
  <si>
    <t>대</t>
    <phoneticPr fontId="2" type="noConversion"/>
  </si>
  <si>
    <t>연  차  수  당</t>
    <phoneticPr fontId="2" type="noConversion"/>
  </si>
  <si>
    <t>차량보험료</t>
    <phoneticPr fontId="2" type="noConversion"/>
  </si>
  <si>
    <t>(기본급+제수당) x (10.5/1000)</t>
    <phoneticPr fontId="2" type="noConversion"/>
  </si>
  <si>
    <t>(기본급+제수당) x (9/1000)</t>
    <phoneticPr fontId="2" type="noConversion"/>
  </si>
  <si>
    <t>(기본급+제수당) x (34.95/1000)</t>
    <phoneticPr fontId="2" type="noConversion"/>
  </si>
  <si>
    <t>(기본급+제수당) x (45/1000)</t>
    <phoneticPr fontId="2" type="noConversion"/>
  </si>
  <si>
    <t>(기본급+제수당) x (0.6/1000)</t>
    <phoneticPr fontId="2" type="noConversion"/>
  </si>
  <si>
    <t>(기본급+제수당) x (0.03/1000)</t>
    <phoneticPr fontId="2" type="noConversion"/>
  </si>
  <si>
    <t>복
리
후
생
비</t>
    <phoneticPr fontId="2" type="noConversion"/>
  </si>
  <si>
    <t>②
경
비</t>
    <phoneticPr fontId="2" type="noConversion"/>
  </si>
  <si>
    <t>금   액(원)</t>
    <phoneticPr fontId="2" type="noConversion"/>
  </si>
  <si>
    <t>①
인
건
비</t>
    <phoneticPr fontId="2" type="noConversion"/>
  </si>
  <si>
    <t xml:space="preserve">복
리
후
생
비
</t>
    <phoneticPr fontId="2" type="noConversion"/>
  </si>
  <si>
    <t>3) 연  차  수  당</t>
    <phoneticPr fontId="2" type="noConversion"/>
  </si>
  <si>
    <t>석면피해구제법 제31조 10만분의 3</t>
    <phoneticPr fontId="2" type="noConversion"/>
  </si>
  <si>
    <t>직종코드 126</t>
    <phoneticPr fontId="2" type="noConversion"/>
  </si>
  <si>
    <t>직종코드 127</t>
    <phoneticPr fontId="2" type="noConversion"/>
  </si>
  <si>
    <t>직종</t>
    <phoneticPr fontId="2" type="noConversion"/>
  </si>
  <si>
    <t>(단위 :원)</t>
    <phoneticPr fontId="2" type="noConversion"/>
  </si>
  <si>
    <t>(단위: 원)</t>
    <phoneticPr fontId="2" type="noConversion"/>
  </si>
  <si>
    <t>합계금액(원)</t>
    <phoneticPr fontId="2" type="noConversion"/>
  </si>
  <si>
    <t>산출금액(원)</t>
    <phoneticPr fontId="2" type="noConversion"/>
  </si>
  <si>
    <t>직종별 기본급 산출</t>
    <phoneticPr fontId="2" type="noConversion"/>
  </si>
  <si>
    <t>1) 차 량 유 류 비</t>
    <phoneticPr fontId="2" type="noConversion"/>
  </si>
  <si>
    <t>2) 감 가 상 각 비</t>
    <phoneticPr fontId="2" type="noConversion"/>
  </si>
  <si>
    <t>3) 차 량 보 험 료</t>
    <phoneticPr fontId="2" type="noConversion"/>
  </si>
  <si>
    <t>내구년한 9년(2017년 현대뉴카운티 78,000천원)</t>
    <phoneticPr fontId="2" type="noConversion"/>
  </si>
  <si>
    <t>내구연한 9년(정률법에 의한 분개)-현대뉴카운티 2017년식 출고가 78,000천원 기준</t>
    <phoneticPr fontId="2" type="noConversion"/>
  </si>
  <si>
    <t xml:space="preserve"> ③ 의 6% 이내</t>
    <phoneticPr fontId="2" type="noConversion"/>
  </si>
  <si>
    <t xml:space="preserve">보험료 1,970,000   현대뉴카운티 25인승 2017년형 35세이상 운전자 기준 </t>
    <phoneticPr fontId="2" type="noConversion"/>
  </si>
  <si>
    <t>2022년 셔틀버스운행 용역 설계내역서</t>
    <phoneticPr fontId="2" type="noConversion"/>
  </si>
  <si>
    <t>청소년수련관 셔틀버스운행 용역 원가계산서</t>
    <phoneticPr fontId="2" type="noConversion"/>
  </si>
  <si>
    <t>2022년 청소년수련관 셔틀버스운행 용역 원가계산 총괄표</t>
    <phoneticPr fontId="2" type="noConversion"/>
  </si>
  <si>
    <t>용역인원: 2명
용역기간: 8월~12월(5개월)</t>
    <phoneticPr fontId="2" type="noConversion"/>
  </si>
  <si>
    <t>용역인원: 2명, 용역기간: 5개월(8월~12월)</t>
    <phoneticPr fontId="2" type="noConversion"/>
  </si>
  <si>
    <t>셔틀버스운행 용역 노무임별 단가(용역2명, 5개월)</t>
    <phoneticPr fontId="2" type="noConversion"/>
  </si>
  <si>
    <t>5개월분</t>
    <phoneticPr fontId="2" type="noConversion"/>
  </si>
  <si>
    <t>5</t>
    <phoneticPr fontId="2" type="noConversion"/>
  </si>
  <si>
    <t>익월부터 1일씩 4일</t>
    <phoneticPr fontId="2" type="noConversion"/>
  </si>
  <si>
    <t>연간보험료×5개월/12개월</t>
    <phoneticPr fontId="2" type="noConversion"/>
  </si>
  <si>
    <t>(기본급+제수당) x (45/1000) × 5(월) × 1조(2명)</t>
    <phoneticPr fontId="2" type="noConversion"/>
  </si>
  <si>
    <t>(기본급+제수당) x (33.30/1000) × 5(월) × 1조(2명)</t>
    <phoneticPr fontId="2" type="noConversion"/>
  </si>
  <si>
    <t>(기본급+제수당) x (9.3/1000) × 5(월) × 1조(2명)</t>
    <phoneticPr fontId="2" type="noConversion"/>
  </si>
  <si>
    <t>(기본급+제수당) x (10.5/1000) × 5(월) × 1조(2명)</t>
    <phoneticPr fontId="2" type="noConversion"/>
  </si>
  <si>
    <t>건강보험료 x (10.25/100) × 5(월) × 1조(2명)</t>
    <phoneticPr fontId="2" type="noConversion"/>
  </si>
  <si>
    <t>(기본급+제수당) x (0.6/1000) × 5(월) × 1조(2명)</t>
    <phoneticPr fontId="2" type="noConversion"/>
  </si>
  <si>
    <t>(기본급+제수당) x (0.03/1000) × 5(월) × 1조(2명)</t>
    <phoneticPr fontId="2" type="noConversion"/>
  </si>
  <si>
    <t>5(월)/12(월) × 현대뉴카운티 25인승
35세이상 운전자 기준 보험료(1년)</t>
    <phoneticPr fontId="2" type="noConversion"/>
  </si>
  <si>
    <t>4) 재료비(엔진오일)</t>
    <phoneticPr fontId="2" type="noConversion"/>
  </si>
  <si>
    <t xml:space="preserve"> 1,940㎞/월 × 5월 = 9,700㎞ 
 9,700km÷ 10,000㎞/회 =0.97회</t>
    <phoneticPr fontId="2" type="noConversion"/>
  </si>
  <si>
    <t xml:space="preserve"> 9,700km÷10,000㎞/회 =0.97회</t>
    <phoneticPr fontId="2" type="noConversion"/>
  </si>
  <si>
    <t>자 동 차 세</t>
    <phoneticPr fontId="2" type="noConversion"/>
  </si>
  <si>
    <t>엔 진 오 일</t>
    <phoneticPr fontId="2" type="noConversion"/>
  </si>
  <si>
    <t xml:space="preserve"> ⑦ + ⑧ (만원미만 절사)</t>
    <phoneticPr fontId="2" type="noConversion"/>
  </si>
  <si>
    <t>5(월)/12(월) × 자동차세</t>
    <phoneticPr fontId="2" type="noConversion"/>
  </si>
  <si>
    <t>5(월)/12(월) × 검사료</t>
    <phoneticPr fontId="2" type="noConversion"/>
  </si>
  <si>
    <t>정률법, 내구연한 9년 2017년 현대카운티 78,000천원 기준</t>
    <phoneticPr fontId="2" type="noConversion"/>
  </si>
  <si>
    <t>유       류       비</t>
    <phoneticPr fontId="2" type="noConversion"/>
  </si>
  <si>
    <t>직종</t>
  </si>
  <si>
    <t>시중노임단가 기준 2</t>
  </si>
  <si>
    <t>순번</t>
  </si>
  <si>
    <t>기술자격 및 경력기준</t>
  </si>
  <si>
    <t>기본급</t>
  </si>
  <si>
    <t>시간당 단가
(기본급/209시간)</t>
  </si>
  <si>
    <t>일  급</t>
  </si>
  <si>
    <t>비  고</t>
  </si>
  <si>
    <t>운전원</t>
  </si>
  <si>
    <t>대형운전면허소지자</t>
  </si>
  <si>
    <t>동  승
보호자</t>
  </si>
  <si>
    <t>자격 제한 없음</t>
  </si>
  <si>
    <t>2022년 하반기시중노임단가
외부특수차운전원과 단순노무종사 8:2 비율
(특수차운전원 105,422원Ⅹ0.8)+(단순노무종사원 84,303원Ⅹ0.2)  = 101,198</t>
    <phoneticPr fontId="2" type="noConversion"/>
  </si>
  <si>
    <t>2022년 하반기 시중노임단가 단순노무종사의 평균값
(단순노무종사원 84,303원) = 84,303원</t>
    <phoneticPr fontId="2" type="noConversion"/>
  </si>
  <si>
    <t>2022년도 하반기 외부특수차운전원 시중노임단가</t>
    <phoneticPr fontId="2" type="noConversion"/>
  </si>
  <si>
    <t>2022년도  하반기 단순노무종사원 시중노임단가</t>
    <phoneticPr fontId="2" type="noConversion"/>
  </si>
  <si>
    <t>1,940km÷5km/리터×2,140원×5개월</t>
    <phoneticPr fontId="2" type="noConversion"/>
  </si>
  <si>
    <t>일급 x 4일/5개월</t>
    <phoneticPr fontId="2" type="noConversion"/>
  </si>
  <si>
    <t>주당운행거리=(9.5km×8회×5일)+(9.5km×7회)=446.5km  
월운행거리=4.345주×446.5km=1,940km  
유류비 =1,940km÷연비(5km/리터)×2,125.41원(7/4일 경기평균 리터당 단가)=824,659원</t>
    <phoneticPr fontId="2" type="noConversion"/>
  </si>
  <si>
    <t>주당운행거리=(9.5km×8회×5일)+(9.5km×7회)=446.5km 
월운행거리=4.345주×446.5km=1,940km  
유류비 =1,940km÷연비(5km/리터)×2,125.41원(7/4 리터당 단가)=824,659원</t>
    <phoneticPr fontId="2" type="noConversion"/>
  </si>
  <si>
    <r>
      <t>월유류비 824,659원</t>
    </r>
    <r>
      <rPr>
        <sz val="9"/>
        <color theme="1"/>
        <rFont val="맑은 고딕"/>
        <family val="3"/>
        <charset val="129"/>
      </rPr>
      <t>Ⅹ5개월</t>
    </r>
    <phoneticPr fontId="2" type="noConversion"/>
  </si>
  <si>
    <r>
      <t xml:space="preserve">- 차량운영시간
</t>
    </r>
    <r>
      <rPr>
        <b/>
        <sz val="9"/>
        <color theme="1"/>
        <rFont val="맑은 고딕"/>
        <family val="3"/>
        <charset val="129"/>
        <scheme val="minor"/>
      </rPr>
      <t>1) 운영기간</t>
    </r>
    <r>
      <rPr>
        <sz val="9"/>
        <color theme="1"/>
        <rFont val="맑은 고딕"/>
        <family val="3"/>
        <charset val="129"/>
        <scheme val="minor"/>
      </rPr>
      <t xml:space="preserve">
   *운영기간: 2022년 8월 ~ 12월
    (월~금 13:00~21:00(7hr) / 토 09:00~17:00(5hr+초과2hr)
    -&gt; 1주간: 정규근무시간 40hr + 초과근무시간 2hr
</t>
    </r>
    <r>
      <rPr>
        <b/>
        <sz val="9"/>
        <color theme="1"/>
        <rFont val="맑은 고딕"/>
        <family val="3"/>
        <charset val="129"/>
        <scheme val="minor"/>
      </rPr>
      <t>2) 계량적 기간환산</t>
    </r>
    <r>
      <rPr>
        <sz val="9"/>
        <color theme="1"/>
        <rFont val="맑은 고딕"/>
        <family val="3"/>
        <charset val="129"/>
        <scheme val="minor"/>
      </rPr>
      <t xml:space="preserve">
   * 1년을 12개월, 365일로 정했을 때, 1년은 52.14주, 1개월은 4.345주로 환산함
</t>
    </r>
    <r>
      <rPr>
        <b/>
        <sz val="9"/>
        <color theme="1"/>
        <rFont val="맑은 고딕"/>
        <family val="3"/>
        <charset val="129"/>
        <scheme val="minor"/>
      </rPr>
      <t>3) 총 초과근무시간 산출</t>
    </r>
    <r>
      <rPr>
        <sz val="9"/>
        <color theme="1"/>
        <rFont val="맑은 고딕"/>
        <family val="3"/>
        <charset val="129"/>
        <scheme val="minor"/>
      </rPr>
      <t xml:space="preserve">
   * 운영기간: 4.345주*5개월=21.72주*2시간=43.45시간
</t>
    </r>
    <r>
      <rPr>
        <b/>
        <sz val="9"/>
        <color theme="1"/>
        <rFont val="맑은 고딕"/>
        <family val="3"/>
        <charset val="129"/>
        <scheme val="minor"/>
      </rPr>
      <t>4) 월간 초과근무시간</t>
    </r>
    <r>
      <rPr>
        <sz val="9"/>
        <color theme="1"/>
        <rFont val="맑은 고딕"/>
        <family val="3"/>
        <charset val="129"/>
        <scheme val="minor"/>
      </rPr>
      <t>: 43.45hr/5개월=8.69hr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</si>
</sst>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_-* #,##0.0000_-;\-* #,##0.0000_-;_-* &quot;-&quot;_-;_-@_-"/>
    <numFmt numFmtId="177" formatCode="#,##0_ "/>
    <numFmt numFmtId="178" formatCode="#,##0_);[Red]\(#,##0\)"/>
    <numFmt numFmtId="179" formatCode="[$₩-412]#,##0_);[Red]\([$₩-412]#,##0\)"/>
    <numFmt numFmtId="180" formatCode="0_);[Red]\(0\)"/>
    <numFmt numFmtId="181" formatCode="0.00_);[Red]\(0.00\)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FF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2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50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41" fontId="14" fillId="0" borderId="53" xfId="0" applyNumberFormat="1" applyFont="1" applyBorder="1">
      <alignment vertical="center"/>
    </xf>
    <xf numFmtId="41" fontId="14" fillId="0" borderId="43" xfId="0" applyNumberFormat="1" applyFont="1" applyBorder="1">
      <alignment vertical="center"/>
    </xf>
    <xf numFmtId="41" fontId="14" fillId="0" borderId="51" xfId="0" applyNumberFormat="1" applyFont="1" applyBorder="1">
      <alignment vertical="center"/>
    </xf>
    <xf numFmtId="0" fontId="18" fillId="0" borderId="5" xfId="0" applyFont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18" fillId="2" borderId="12" xfId="0" applyFont="1" applyFill="1" applyBorder="1" applyAlignment="1">
      <alignment horizontal="left" vertical="center" wrapText="1"/>
    </xf>
    <xf numFmtId="41" fontId="14" fillId="0" borderId="0" xfId="0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 wrapText="1"/>
    </xf>
    <xf numFmtId="41" fontId="14" fillId="0" borderId="42" xfId="0" applyNumberFormat="1" applyFont="1" applyBorder="1">
      <alignment vertical="center"/>
    </xf>
    <xf numFmtId="41" fontId="14" fillId="0" borderId="41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180" fontId="14" fillId="0" borderId="41" xfId="1" applyNumberFormat="1" applyFont="1" applyBorder="1" applyAlignment="1">
      <alignment horizontal="center" vertical="center"/>
    </xf>
    <xf numFmtId="41" fontId="14" fillId="0" borderId="41" xfId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41" fontId="14" fillId="0" borderId="38" xfId="1" applyFont="1" applyBorder="1">
      <alignment vertical="center"/>
    </xf>
    <xf numFmtId="0" fontId="14" fillId="0" borderId="38" xfId="1" applyNumberFormat="1" applyFont="1" applyBorder="1" applyAlignment="1">
      <alignment horizontal="center" vertical="center" wrapText="1"/>
    </xf>
    <xf numFmtId="41" fontId="14" fillId="0" borderId="38" xfId="1" applyFont="1" applyBorder="1" applyAlignment="1">
      <alignment horizontal="center" vertical="center"/>
    </xf>
    <xf numFmtId="177" fontId="14" fillId="0" borderId="38" xfId="1" applyNumberFormat="1" applyFont="1" applyBorder="1" applyAlignment="1">
      <alignment horizontal="center" vertical="center"/>
    </xf>
    <xf numFmtId="41" fontId="14" fillId="0" borderId="38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center" vertical="center"/>
    </xf>
    <xf numFmtId="41" fontId="14" fillId="0" borderId="52" xfId="1" applyFont="1" applyBorder="1">
      <alignment vertical="center"/>
    </xf>
    <xf numFmtId="0" fontId="14" fillId="0" borderId="52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7" fontId="14" fillId="0" borderId="52" xfId="1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center" vertical="center"/>
    </xf>
    <xf numFmtId="176" fontId="14" fillId="0" borderId="38" xfId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41" fontId="14" fillId="0" borderId="40" xfId="1" applyFont="1" applyBorder="1">
      <alignment vertical="center"/>
    </xf>
    <xf numFmtId="0" fontId="14" fillId="0" borderId="40" xfId="1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center" vertical="center"/>
    </xf>
    <xf numFmtId="177" fontId="14" fillId="0" borderId="40" xfId="1" applyNumberFormat="1" applyFont="1" applyBorder="1" applyAlignment="1">
      <alignment horizontal="center" vertical="center"/>
    </xf>
    <xf numFmtId="41" fontId="14" fillId="0" borderId="40" xfId="1" applyFont="1" applyFill="1" applyBorder="1" applyAlignment="1">
      <alignment horizontal="center" vertical="center"/>
    </xf>
    <xf numFmtId="41" fontId="14" fillId="0" borderId="14" xfId="1" applyFont="1" applyBorder="1">
      <alignment vertical="center"/>
    </xf>
    <xf numFmtId="0" fontId="14" fillId="0" borderId="14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1" fontId="14" fillId="0" borderId="14" xfId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1" fontId="14" fillId="0" borderId="37" xfId="1" applyFont="1" applyBorder="1">
      <alignment vertical="center"/>
    </xf>
    <xf numFmtId="0" fontId="14" fillId="0" borderId="37" xfId="1" applyNumberFormat="1" applyFont="1" applyBorder="1" applyAlignment="1">
      <alignment horizontal="center" vertical="center"/>
    </xf>
    <xf numFmtId="176" fontId="14" fillId="0" borderId="37" xfId="1" applyNumberFormat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41" fontId="14" fillId="0" borderId="37" xfId="1" applyFont="1" applyFill="1" applyBorder="1" applyAlignment="1">
      <alignment horizontal="center" vertical="center"/>
    </xf>
    <xf numFmtId="41" fontId="14" fillId="0" borderId="58" xfId="1" applyFont="1" applyBorder="1">
      <alignment vertical="center"/>
    </xf>
    <xf numFmtId="0" fontId="14" fillId="0" borderId="58" xfId="1" applyNumberFormat="1" applyFont="1" applyBorder="1" applyAlignment="1">
      <alignment horizontal="center" vertical="center"/>
    </xf>
    <xf numFmtId="176" fontId="14" fillId="0" borderId="58" xfId="1" applyNumberFormat="1" applyFont="1" applyBorder="1" applyAlignment="1">
      <alignment horizontal="center" vertical="center"/>
    </xf>
    <xf numFmtId="49" fontId="14" fillId="0" borderId="58" xfId="1" applyNumberFormat="1" applyFont="1" applyBorder="1" applyAlignment="1">
      <alignment horizontal="center" vertical="center"/>
    </xf>
    <xf numFmtId="41" fontId="14" fillId="0" borderId="58" xfId="1" applyFont="1" applyFill="1" applyBorder="1" applyAlignment="1">
      <alignment horizontal="center" vertical="center"/>
    </xf>
    <xf numFmtId="49" fontId="14" fillId="0" borderId="40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4" xfId="1" applyNumberFormat="1" applyFont="1" applyBorder="1" applyAlignment="1">
      <alignment horizontal="center" vertical="center"/>
    </xf>
    <xf numFmtId="41" fontId="14" fillId="0" borderId="4" xfId="1" applyFont="1" applyBorder="1" applyAlignment="1">
      <alignment horizontal="center" vertical="center"/>
    </xf>
    <xf numFmtId="41" fontId="14" fillId="0" borderId="21" xfId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1" applyNumberFormat="1" applyFont="1" applyFill="1" applyBorder="1" applyAlignment="1">
      <alignment horizontal="center" vertical="center" wrapText="1"/>
    </xf>
    <xf numFmtId="41" fontId="14" fillId="2" borderId="4" xfId="1" applyFont="1" applyFill="1" applyBorder="1" applyAlignment="1">
      <alignment horizontal="center" vertical="center"/>
    </xf>
    <xf numFmtId="41" fontId="14" fillId="2" borderId="4" xfId="1" applyFont="1" applyFill="1" applyBorder="1">
      <alignment vertical="center"/>
    </xf>
    <xf numFmtId="41" fontId="14" fillId="2" borderId="21" xfId="1" applyFont="1" applyFill="1" applyBorder="1" applyAlignment="1">
      <alignment horizontal="center" vertical="center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41" fontId="14" fillId="2" borderId="4" xfId="1" applyNumberFormat="1" applyFont="1" applyFill="1" applyBorder="1">
      <alignment vertical="center"/>
    </xf>
    <xf numFmtId="41" fontId="29" fillId="2" borderId="4" xfId="1" applyNumberFormat="1" applyFont="1" applyFill="1" applyBorder="1">
      <alignment vertical="center"/>
    </xf>
    <xf numFmtId="0" fontId="29" fillId="2" borderId="3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4" xfId="1" applyNumberFormat="1" applyFont="1" applyFill="1" applyBorder="1" applyAlignment="1">
      <alignment horizontal="center" vertical="center"/>
    </xf>
    <xf numFmtId="176" fontId="29" fillId="2" borderId="4" xfId="1" applyNumberFormat="1" applyFont="1" applyFill="1" applyBorder="1" applyAlignment="1">
      <alignment horizontal="center" vertical="center"/>
    </xf>
    <xf numFmtId="41" fontId="14" fillId="2" borderId="21" xfId="1" applyNumberFormat="1" applyFont="1" applyFill="1" applyBorder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41" fontId="14" fillId="2" borderId="11" xfId="1" applyNumberFormat="1" applyFont="1" applyFill="1" applyBorder="1">
      <alignment vertical="center"/>
    </xf>
    <xf numFmtId="41" fontId="14" fillId="2" borderId="26" xfId="1" applyNumberFormat="1" applyFont="1" applyFill="1" applyBorder="1">
      <alignment vertical="center"/>
    </xf>
    <xf numFmtId="41" fontId="29" fillId="2" borderId="21" xfId="1" applyNumberFormat="1" applyFont="1" applyFill="1" applyBorder="1">
      <alignment vertical="center"/>
    </xf>
    <xf numFmtId="0" fontId="19" fillId="0" borderId="14" xfId="0" applyFont="1" applyBorder="1" applyAlignment="1">
      <alignment horizontal="center" vertical="center" wrapText="1"/>
    </xf>
    <xf numFmtId="41" fontId="14" fillId="0" borderId="37" xfId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41" fontId="29" fillId="0" borderId="38" xfId="1" applyFont="1" applyBorder="1" applyAlignment="1">
      <alignment horizontal="center" vertical="center"/>
    </xf>
    <xf numFmtId="41" fontId="14" fillId="0" borderId="40" xfId="1" applyFont="1" applyBorder="1" applyAlignment="1">
      <alignment horizontal="center" vertical="center"/>
    </xf>
    <xf numFmtId="41" fontId="14" fillId="0" borderId="27" xfId="1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4" fillId="0" borderId="58" xfId="1" applyFont="1" applyBorder="1" applyAlignment="1">
      <alignment horizontal="center" vertical="center"/>
    </xf>
    <xf numFmtId="41" fontId="19" fillId="0" borderId="37" xfId="1" applyFont="1" applyBorder="1" applyAlignment="1">
      <alignment horizontal="center" vertical="center"/>
    </xf>
    <xf numFmtId="41" fontId="19" fillId="0" borderId="38" xfId="1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6" fillId="0" borderId="33" xfId="0" applyNumberFormat="1" applyFont="1" applyBorder="1" applyAlignment="1">
      <alignment horizontal="center" vertical="center"/>
    </xf>
    <xf numFmtId="41" fontId="16" fillId="0" borderId="3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/>
    </xf>
    <xf numFmtId="41" fontId="31" fillId="0" borderId="1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/>
    </xf>
    <xf numFmtId="41" fontId="31" fillId="0" borderId="35" xfId="0" applyNumberFormat="1" applyFont="1" applyBorder="1">
      <alignment vertical="center"/>
    </xf>
    <xf numFmtId="41" fontId="31" fillId="0" borderId="36" xfId="0" applyNumberFormat="1" applyFont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/>
    </xf>
    <xf numFmtId="41" fontId="32" fillId="0" borderId="14" xfId="0" applyNumberFormat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/>
    </xf>
    <xf numFmtId="41" fontId="32" fillId="0" borderId="14" xfId="1" applyFont="1" applyFill="1" applyBorder="1">
      <alignment vertical="center"/>
    </xf>
    <xf numFmtId="41" fontId="33" fillId="0" borderId="15" xfId="1" applyFont="1" applyFill="1" applyBorder="1" applyAlignment="1">
      <alignment horizontal="center" vertical="center" wrapText="1"/>
    </xf>
    <xf numFmtId="0" fontId="32" fillId="0" borderId="34" xfId="0" applyNumberFormat="1" applyFont="1" applyFill="1" applyBorder="1" applyAlignment="1">
      <alignment horizontal="center" vertical="center"/>
    </xf>
    <xf numFmtId="41" fontId="32" fillId="0" borderId="35" xfId="0" applyNumberFormat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/>
    </xf>
    <xf numFmtId="41" fontId="32" fillId="0" borderId="35" xfId="1" applyNumberFormat="1" applyFont="1" applyFill="1" applyBorder="1">
      <alignment vertical="center"/>
    </xf>
    <xf numFmtId="41" fontId="32" fillId="0" borderId="35" xfId="1" applyFont="1" applyFill="1" applyBorder="1">
      <alignment vertical="center"/>
    </xf>
    <xf numFmtId="41" fontId="33" fillId="0" borderId="36" xfId="1" applyFont="1" applyFill="1" applyBorder="1" applyAlignment="1">
      <alignment horizontal="center" vertical="center" wrapText="1"/>
    </xf>
    <xf numFmtId="41" fontId="12" fillId="0" borderId="14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41" fontId="31" fillId="0" borderId="14" xfId="0" applyNumberFormat="1" applyFont="1" applyBorder="1" applyAlignment="1">
      <alignment vertical="center" wrapText="1"/>
    </xf>
    <xf numFmtId="41" fontId="31" fillId="0" borderId="35" xfId="0" applyNumberFormat="1" applyFont="1" applyBorder="1" applyAlignment="1">
      <alignment vertical="center" wrapText="1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41" fontId="19" fillId="4" borderId="27" xfId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left" vertical="center"/>
    </xf>
    <xf numFmtId="0" fontId="20" fillId="4" borderId="60" xfId="0" applyFont="1" applyFill="1" applyBorder="1" applyAlignment="1">
      <alignment horizontal="center" vertical="center"/>
    </xf>
    <xf numFmtId="41" fontId="19" fillId="3" borderId="47" xfId="1" applyFont="1" applyFill="1" applyBorder="1" applyAlignment="1">
      <alignment horizontal="center" vertical="center"/>
    </xf>
    <xf numFmtId="41" fontId="14" fillId="3" borderId="48" xfId="0" applyNumberFormat="1" applyFont="1" applyFill="1" applyBorder="1">
      <alignment vertical="center"/>
    </xf>
    <xf numFmtId="41" fontId="14" fillId="0" borderId="5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4" xfId="1" applyNumberFormat="1" applyFont="1" applyFill="1" applyBorder="1" applyAlignment="1">
      <alignment horizontal="center" vertical="center"/>
    </xf>
    <xf numFmtId="176" fontId="29" fillId="0" borderId="4" xfId="1" applyNumberFormat="1" applyFont="1" applyFill="1" applyBorder="1" applyAlignment="1">
      <alignment horizontal="center" vertical="center"/>
    </xf>
    <xf numFmtId="41" fontId="29" fillId="0" borderId="4" xfId="1" applyNumberFormat="1" applyFont="1" applyFill="1" applyBorder="1">
      <alignment vertical="center"/>
    </xf>
    <xf numFmtId="41" fontId="29" fillId="0" borderId="21" xfId="1" applyNumberFormat="1" applyFont="1" applyFill="1" applyBorder="1">
      <alignment vertical="center"/>
    </xf>
    <xf numFmtId="0" fontId="27" fillId="0" borderId="5" xfId="0" applyFont="1" applyFill="1" applyBorder="1" applyAlignment="1">
      <alignment horizontal="left" vertical="center"/>
    </xf>
    <xf numFmtId="41" fontId="14" fillId="0" borderId="43" xfId="0" applyNumberFormat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41" fontId="15" fillId="4" borderId="47" xfId="1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left" vertical="center"/>
    </xf>
    <xf numFmtId="41" fontId="15" fillId="4" borderId="13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1" applyNumberFormat="1" applyFont="1" applyFill="1" applyBorder="1" applyAlignment="1">
      <alignment horizontal="center" vertical="center"/>
    </xf>
    <xf numFmtId="41" fontId="14" fillId="3" borderId="8" xfId="1" applyFont="1" applyFill="1" applyBorder="1" applyAlignment="1">
      <alignment horizontal="center" vertical="center"/>
    </xf>
    <xf numFmtId="41" fontId="14" fillId="3" borderId="8" xfId="1" applyFont="1" applyFill="1" applyBorder="1">
      <alignment vertical="center"/>
    </xf>
    <xf numFmtId="41" fontId="19" fillId="3" borderId="8" xfId="1" applyFont="1" applyFill="1" applyBorder="1">
      <alignment vertical="center"/>
    </xf>
    <xf numFmtId="41" fontId="19" fillId="3" borderId="22" xfId="1" applyFont="1" applyFill="1" applyBorder="1">
      <alignment vertical="center"/>
    </xf>
    <xf numFmtId="0" fontId="18" fillId="3" borderId="9" xfId="0" applyFont="1" applyFill="1" applyBorder="1">
      <alignment vertical="center"/>
    </xf>
    <xf numFmtId="0" fontId="18" fillId="4" borderId="1" xfId="0" applyFont="1" applyFill="1" applyBorder="1" applyAlignment="1">
      <alignment horizontal="left" vertical="center"/>
    </xf>
    <xf numFmtId="0" fontId="17" fillId="4" borderId="1" xfId="1" applyNumberFormat="1" applyFont="1" applyFill="1" applyBorder="1" applyAlignment="1">
      <alignment horizontal="center" vertical="center"/>
    </xf>
    <xf numFmtId="41" fontId="17" fillId="4" borderId="1" xfId="1" applyFont="1" applyFill="1" applyBorder="1" applyAlignment="1">
      <alignment horizontal="center" vertical="center"/>
    </xf>
    <xf numFmtId="41" fontId="18" fillId="4" borderId="1" xfId="1" applyFont="1" applyFill="1" applyBorder="1">
      <alignment vertical="center"/>
    </xf>
    <xf numFmtId="41" fontId="18" fillId="4" borderId="20" xfId="1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8" fillId="4" borderId="5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8" xfId="0" applyNumberFormat="1" applyFont="1" applyFill="1" applyBorder="1" applyAlignment="1">
      <alignment horizontal="center" vertical="center"/>
    </xf>
    <xf numFmtId="41" fontId="19" fillId="3" borderId="8" xfId="1" applyNumberFormat="1" applyFont="1" applyFill="1" applyBorder="1">
      <alignment vertical="center"/>
    </xf>
    <xf numFmtId="41" fontId="19" fillId="3" borderId="22" xfId="1" applyNumberFormat="1" applyFont="1" applyFill="1" applyBorder="1">
      <alignment vertical="center"/>
    </xf>
    <xf numFmtId="0" fontId="17" fillId="3" borderId="9" xfId="0" applyFont="1" applyFill="1" applyBorder="1">
      <alignment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 wrapText="1"/>
    </xf>
    <xf numFmtId="41" fontId="21" fillId="3" borderId="32" xfId="0" applyNumberFormat="1" applyFont="1" applyFill="1" applyBorder="1" applyAlignment="1">
      <alignment horizontal="center" vertical="center"/>
    </xf>
    <xf numFmtId="0" fontId="33" fillId="5" borderId="30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 wrapText="1"/>
    </xf>
    <xf numFmtId="41" fontId="33" fillId="5" borderId="32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1" applyNumberFormat="1" applyFont="1" applyFill="1" applyBorder="1" applyAlignment="1">
      <alignment horizontal="center" vertical="center"/>
    </xf>
    <xf numFmtId="41" fontId="14" fillId="4" borderId="7" xfId="1" applyFont="1" applyFill="1" applyBorder="1">
      <alignment vertical="center"/>
    </xf>
    <xf numFmtId="41" fontId="14" fillId="4" borderId="63" xfId="1" applyFont="1" applyFill="1" applyBorder="1">
      <alignment vertical="center"/>
    </xf>
    <xf numFmtId="0" fontId="18" fillId="4" borderId="64" xfId="0" applyFont="1" applyFill="1" applyBorder="1">
      <alignment vertical="center"/>
    </xf>
    <xf numFmtId="181" fontId="14" fillId="2" borderId="4" xfId="1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distributed"/>
    </xf>
    <xf numFmtId="0" fontId="14" fillId="0" borderId="58" xfId="0" applyFont="1" applyBorder="1" applyAlignment="1">
      <alignment horizontal="center" vertical="distributed"/>
    </xf>
    <xf numFmtId="0" fontId="14" fillId="0" borderId="40" xfId="0" applyFont="1" applyBorder="1" applyAlignment="1">
      <alignment horizontal="center" vertical="distributed"/>
    </xf>
    <xf numFmtId="0" fontId="14" fillId="0" borderId="14" xfId="0" applyFont="1" applyBorder="1" applyAlignment="1">
      <alignment horizontal="center" vertical="distributed"/>
    </xf>
    <xf numFmtId="41" fontId="3" fillId="0" borderId="0" xfId="0" applyNumberFormat="1" applyFont="1" applyAlignment="1">
      <alignment horizontal="center" vertical="center"/>
    </xf>
    <xf numFmtId="0" fontId="14" fillId="2" borderId="40" xfId="1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41" fontId="29" fillId="0" borderId="4" xfId="1" applyFont="1" applyBorder="1" applyAlignment="1">
      <alignment horizontal="center" vertical="center"/>
    </xf>
    <xf numFmtId="41" fontId="31" fillId="0" borderId="14" xfId="0" applyNumberFormat="1" applyFont="1" applyBorder="1">
      <alignment vertical="center"/>
    </xf>
    <xf numFmtId="41" fontId="29" fillId="0" borderId="14" xfId="1" applyFont="1" applyBorder="1">
      <alignment vertical="center"/>
    </xf>
    <xf numFmtId="177" fontId="31" fillId="0" borderId="14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41" fontId="34" fillId="0" borderId="40" xfId="1" applyFont="1" applyBorder="1">
      <alignment vertical="center"/>
    </xf>
    <xf numFmtId="41" fontId="15" fillId="3" borderId="25" xfId="0" applyNumberFormat="1" applyFont="1" applyFill="1" applyBorder="1" applyAlignment="1">
      <alignment horizontal="center" vertical="center"/>
    </xf>
    <xf numFmtId="41" fontId="15" fillId="3" borderId="47" xfId="0" applyNumberFormat="1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41" fontId="15" fillId="0" borderId="61" xfId="0" applyNumberFormat="1" applyFont="1" applyBorder="1" applyAlignment="1">
      <alignment horizontal="left" vertical="center"/>
    </xf>
    <xf numFmtId="41" fontId="15" fillId="0" borderId="37" xfId="0" applyNumberFormat="1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41" fontId="15" fillId="0" borderId="55" xfId="0" applyNumberFormat="1" applyFont="1" applyBorder="1" applyAlignment="1">
      <alignment horizontal="left" vertical="center"/>
    </xf>
    <xf numFmtId="41" fontId="15" fillId="0" borderId="38" xfId="0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41" fontId="15" fillId="0" borderId="56" xfId="0" applyNumberFormat="1" applyFont="1" applyBorder="1" applyAlignment="1">
      <alignment horizontal="left" vertical="center"/>
    </xf>
    <xf numFmtId="41" fontId="15" fillId="0" borderId="39" xfId="0" applyNumberFormat="1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6" fillId="3" borderId="47" xfId="0" applyFont="1" applyFill="1" applyBorder="1" applyAlignment="1">
      <alignment vertical="center"/>
    </xf>
    <xf numFmtId="41" fontId="15" fillId="0" borderId="56" xfId="0" applyNumberFormat="1" applyFont="1" applyBorder="1" applyAlignment="1">
      <alignment horizontal="center" vertical="center"/>
    </xf>
    <xf numFmtId="41" fontId="15" fillId="0" borderId="3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8" fontId="15" fillId="0" borderId="52" xfId="0" applyNumberFormat="1" applyFont="1" applyBorder="1" applyAlignment="1">
      <alignment horizontal="right" vertical="center"/>
    </xf>
    <xf numFmtId="178" fontId="15" fillId="0" borderId="38" xfId="0" applyNumberFormat="1" applyFont="1" applyBorder="1" applyAlignment="1">
      <alignment horizontal="right" vertical="center"/>
    </xf>
    <xf numFmtId="179" fontId="21" fillId="3" borderId="47" xfId="0" applyNumberFormat="1" applyFont="1" applyFill="1" applyBorder="1" applyAlignment="1">
      <alignment horizontal="right" vertical="center"/>
    </xf>
    <xf numFmtId="179" fontId="22" fillId="3" borderId="47" xfId="0" applyNumberFormat="1" applyFont="1" applyFill="1" applyBorder="1" applyAlignment="1">
      <alignment horizontal="right" vertical="center"/>
    </xf>
    <xf numFmtId="178" fontId="15" fillId="0" borderId="39" xfId="0" applyNumberFormat="1" applyFont="1" applyBorder="1" applyAlignment="1">
      <alignment horizontal="right" vertical="center"/>
    </xf>
    <xf numFmtId="41" fontId="15" fillId="0" borderId="55" xfId="0" applyNumberFormat="1" applyFont="1" applyBorder="1" applyAlignment="1">
      <alignment horizontal="center" vertical="center"/>
    </xf>
    <xf numFmtId="41" fontId="15" fillId="0" borderId="3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41" fontId="15" fillId="0" borderId="54" xfId="0" applyNumberFormat="1" applyFont="1" applyBorder="1" applyAlignment="1">
      <alignment horizontal="center" vertical="center"/>
    </xf>
    <xf numFmtId="41" fontId="15" fillId="0" borderId="52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25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vertical="center" shrinkToFit="1"/>
    </xf>
    <xf numFmtId="0" fontId="16" fillId="3" borderId="1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vertical="center"/>
    </xf>
    <xf numFmtId="0" fontId="19" fillId="4" borderId="47" xfId="0" applyFont="1" applyFill="1" applyBorder="1" applyAlignme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41" fontId="14" fillId="4" borderId="4" xfId="1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41" fontId="14" fillId="4" borderId="13" xfId="1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41" fontId="14" fillId="4" borderId="28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1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5" xfId="0" quotePrefix="1" applyFont="1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15" zoomScaleSheetLayoutView="100" workbookViewId="0">
      <selection sqref="A1:E1"/>
    </sheetView>
  </sheetViews>
  <sheetFormatPr defaultRowHeight="13.5"/>
  <cols>
    <col min="1" max="1" width="6.44140625" customWidth="1"/>
    <col min="2" max="2" width="4" customWidth="1"/>
    <col min="3" max="3" width="15.6640625" customWidth="1"/>
    <col min="4" max="4" width="13" style="9" customWidth="1"/>
    <col min="5" max="5" width="43.21875" customWidth="1"/>
    <col min="6" max="6" width="11.5546875" bestFit="1" customWidth="1"/>
  </cols>
  <sheetData>
    <row r="1" spans="1:5" ht="52.5" customHeight="1">
      <c r="A1" s="266" t="s">
        <v>141</v>
      </c>
      <c r="B1" s="267"/>
      <c r="C1" s="267"/>
      <c r="D1" s="267"/>
      <c r="E1" s="267"/>
    </row>
    <row r="2" spans="1:5" ht="30" customHeight="1" thickBot="1">
      <c r="A2" s="123"/>
      <c r="B2" s="124"/>
      <c r="C2" s="124"/>
      <c r="D2" s="124"/>
      <c r="E2" s="155" t="s">
        <v>142</v>
      </c>
    </row>
    <row r="3" spans="1:5" ht="35.25" customHeight="1" thickBot="1">
      <c r="A3" s="270" t="s">
        <v>47</v>
      </c>
      <c r="B3" s="271"/>
      <c r="C3" s="272"/>
      <c r="D3" s="159" t="s">
        <v>130</v>
      </c>
      <c r="E3" s="160" t="s">
        <v>48</v>
      </c>
    </row>
    <row r="4" spans="1:5" ht="20.100000000000001" customHeight="1" thickTop="1">
      <c r="A4" s="268" t="s">
        <v>120</v>
      </c>
      <c r="B4" s="274" t="s">
        <v>39</v>
      </c>
      <c r="C4" s="275"/>
      <c r="D4" s="40">
        <f>원가계산서!H3</f>
        <v>0</v>
      </c>
      <c r="E4" s="17"/>
    </row>
    <row r="5" spans="1:5" ht="20.100000000000001" customHeight="1">
      <c r="A5" s="269"/>
      <c r="B5" s="276" t="s">
        <v>40</v>
      </c>
      <c r="C5" s="277"/>
      <c r="D5" s="47">
        <f>원가계산서!H4</f>
        <v>0</v>
      </c>
      <c r="E5" s="18" t="str">
        <f>설계내역서!B7</f>
        <v>시급 x 1.5×연장시간</v>
      </c>
    </row>
    <row r="6" spans="1:5" ht="20.100000000000001" customHeight="1">
      <c r="A6" s="269"/>
      <c r="B6" s="278" t="s">
        <v>109</v>
      </c>
      <c r="C6" s="279"/>
      <c r="D6" s="114">
        <f>원가계산서!H5</f>
        <v>0</v>
      </c>
      <c r="E6" s="21" t="str">
        <f>설계내역서!B8</f>
        <v>일급 x 4일/5개월</v>
      </c>
    </row>
    <row r="7" spans="1:5" ht="20.100000000000001" customHeight="1">
      <c r="A7" s="269"/>
      <c r="B7" s="260" t="s">
        <v>36</v>
      </c>
      <c r="C7" s="273"/>
      <c r="D7" s="161">
        <f>원가계산서!H6</f>
        <v>0</v>
      </c>
      <c r="E7" s="162"/>
    </row>
    <row r="8" spans="1:5" ht="20.100000000000001" customHeight="1">
      <c r="A8" s="255" t="s">
        <v>38</v>
      </c>
      <c r="B8" s="262" t="s">
        <v>121</v>
      </c>
      <c r="C8" s="70" t="s">
        <v>41</v>
      </c>
      <c r="D8" s="111">
        <f>원가계산서!H7</f>
        <v>0</v>
      </c>
      <c r="E8" s="152" t="str">
        <f>원가계산서!I7</f>
        <v>(기본급+제수당) x (45/1000) × 5(월) × 1조(2명)</v>
      </c>
    </row>
    <row r="9" spans="1:5" ht="20.100000000000001" customHeight="1">
      <c r="A9" s="256"/>
      <c r="B9" s="262"/>
      <c r="C9" s="56" t="s">
        <v>42</v>
      </c>
      <c r="D9" s="47">
        <f>원가계산서!H8</f>
        <v>0</v>
      </c>
      <c r="E9" s="153" t="str">
        <f>원가계산서!I8</f>
        <v>(기본급+제수당) x (33.30/1000) × 5(월) × 1조(2명)</v>
      </c>
    </row>
    <row r="10" spans="1:5" ht="20.100000000000001" customHeight="1">
      <c r="A10" s="256"/>
      <c r="B10" s="262"/>
      <c r="C10" s="56" t="s">
        <v>43</v>
      </c>
      <c r="D10" s="47">
        <f>원가계산서!H9</f>
        <v>0</v>
      </c>
      <c r="E10" s="153" t="str">
        <f>원가계산서!I9</f>
        <v>(기본급+제수당) x (9.3/1000) × 5(월) × 1조(2명)</v>
      </c>
    </row>
    <row r="11" spans="1:5" ht="20.100000000000001" customHeight="1">
      <c r="A11" s="256"/>
      <c r="B11" s="262"/>
      <c r="C11" s="112" t="s">
        <v>44</v>
      </c>
      <c r="D11" s="113">
        <f>원가계산서!H10</f>
        <v>0</v>
      </c>
      <c r="E11" s="153" t="str">
        <f>원가계산서!I10</f>
        <v>(기본급+제수당) x (10.5/1000) × 5(월) × 1조(2명)</v>
      </c>
    </row>
    <row r="12" spans="1:5" ht="20.100000000000001" customHeight="1">
      <c r="A12" s="256"/>
      <c r="B12" s="262"/>
      <c r="C12" s="56" t="s">
        <v>13</v>
      </c>
      <c r="D12" s="47">
        <f>원가계산서!H11</f>
        <v>0</v>
      </c>
      <c r="E12" s="153" t="str">
        <f>원가계산서!I11</f>
        <v>건강보험료 x (10.25/100) × 5(월) × 1조(2명)</v>
      </c>
    </row>
    <row r="13" spans="1:5" ht="19.5" customHeight="1">
      <c r="A13" s="256"/>
      <c r="B13" s="262"/>
      <c r="C13" s="56" t="s">
        <v>0</v>
      </c>
      <c r="D13" s="47">
        <f>원가계산서!H12</f>
        <v>0</v>
      </c>
      <c r="E13" s="153" t="str">
        <f>원가계산서!I12</f>
        <v>(기본급+제수당) x (0.6/1000) × 5(월) × 1조(2명)</v>
      </c>
    </row>
    <row r="14" spans="1:5" ht="19.5" customHeight="1">
      <c r="A14" s="256"/>
      <c r="B14" s="262"/>
      <c r="C14" s="59" t="s">
        <v>56</v>
      </c>
      <c r="D14" s="114">
        <f>원가계산서!H13</f>
        <v>0</v>
      </c>
      <c r="E14" s="154" t="str">
        <f>원가계산서!I13</f>
        <v>(기본급+제수당) x (0.03/1000) × 5(월) × 1조(2명)</v>
      </c>
    </row>
    <row r="15" spans="1:5" ht="19.5" customHeight="1">
      <c r="A15" s="256"/>
      <c r="B15" s="257" t="s">
        <v>166</v>
      </c>
      <c r="C15" s="258"/>
      <c r="D15" s="115">
        <f>원가계산서!H14</f>
        <v>0</v>
      </c>
      <c r="E15" s="347" t="s">
        <v>187</v>
      </c>
    </row>
    <row r="16" spans="1:5" ht="20.100000000000001" customHeight="1">
      <c r="A16" s="256"/>
      <c r="B16" s="259" t="s">
        <v>49</v>
      </c>
      <c r="C16" s="259"/>
      <c r="D16" s="116">
        <f>원가계산서!H15</f>
        <v>0</v>
      </c>
      <c r="E16" s="23" t="s">
        <v>165</v>
      </c>
    </row>
    <row r="17" spans="1:5" ht="21.95" customHeight="1">
      <c r="A17" s="256"/>
      <c r="B17" s="263" t="s">
        <v>50</v>
      </c>
      <c r="C17" s="230" t="str">
        <f>원가계산서!C16</f>
        <v>차량보험료</v>
      </c>
      <c r="D17" s="111">
        <f>원가계산서!H16</f>
        <v>0</v>
      </c>
      <c r="E17" s="22" t="str">
        <f>원가계산서!I16</f>
        <v>5(월)/12(월) × 현대뉴카운티 25인승
35세이상 운전자 기준 보험료(1년)</v>
      </c>
    </row>
    <row r="18" spans="1:5" ht="21.95" customHeight="1">
      <c r="A18" s="256"/>
      <c r="B18" s="264"/>
      <c r="C18" s="231" t="str">
        <f>원가계산서!C17</f>
        <v>자 동 차 세</v>
      </c>
      <c r="D18" s="117">
        <f>원가계산서!H17</f>
        <v>0</v>
      </c>
      <c r="E18" s="37" t="str">
        <f>원가계산서!I17</f>
        <v>5(월)/12(월) × 자동차세</v>
      </c>
    </row>
    <row r="19" spans="1:5" ht="21.95" customHeight="1">
      <c r="A19" s="256"/>
      <c r="B19" s="265"/>
      <c r="C19" s="232" t="str">
        <f>원가계산서!C18</f>
        <v>차량검사료</v>
      </c>
      <c r="D19" s="114">
        <f>원가계산서!H18</f>
        <v>0</v>
      </c>
      <c r="E19" s="21" t="str">
        <f>원가계산서!I18</f>
        <v>5(월)/12(월) × 검사료</v>
      </c>
    </row>
    <row r="20" spans="1:5" ht="19.5" customHeight="1">
      <c r="A20" s="256"/>
      <c r="B20" s="125" t="s">
        <v>28</v>
      </c>
      <c r="C20" s="233" t="str">
        <f>원가계산서!C19</f>
        <v>엔 진 오 일</v>
      </c>
      <c r="D20" s="116">
        <f>설계내역서!F28</f>
        <v>0</v>
      </c>
      <c r="E20" s="23" t="str">
        <f>설계내역서!B28</f>
        <v xml:space="preserve"> 9,700km÷10,000㎞/회 =0.97회</v>
      </c>
    </row>
    <row r="21" spans="1:5" ht="20.100000000000001" customHeight="1">
      <c r="A21" s="256"/>
      <c r="B21" s="260" t="s">
        <v>36</v>
      </c>
      <c r="C21" s="261"/>
      <c r="D21" s="161">
        <f>원가계산서!H20</f>
        <v>0</v>
      </c>
      <c r="E21" s="163"/>
    </row>
    <row r="22" spans="1:5" ht="20.100000000000001" customHeight="1">
      <c r="A22" s="246" t="s">
        <v>29</v>
      </c>
      <c r="B22" s="247"/>
      <c r="C22" s="248"/>
      <c r="D22" s="118">
        <f>원가계산서!F21</f>
        <v>0</v>
      </c>
      <c r="E22" s="39" t="s">
        <v>22</v>
      </c>
    </row>
    <row r="23" spans="1:5" ht="20.100000000000001" customHeight="1">
      <c r="A23" s="249" t="s">
        <v>30</v>
      </c>
      <c r="B23" s="250"/>
      <c r="C23" s="251"/>
      <c r="D23" s="119">
        <f>원가계산서!F22</f>
        <v>0</v>
      </c>
      <c r="E23" s="175" t="s">
        <v>137</v>
      </c>
    </row>
    <row r="24" spans="1:5" ht="20.100000000000001" customHeight="1">
      <c r="A24" s="249" t="s">
        <v>31</v>
      </c>
      <c r="B24" s="250"/>
      <c r="C24" s="251"/>
      <c r="D24" s="119">
        <f>원가계산서!F23</f>
        <v>0</v>
      </c>
      <c r="E24" s="25" t="s">
        <v>25</v>
      </c>
    </row>
    <row r="25" spans="1:5" ht="20.100000000000001" customHeight="1">
      <c r="A25" s="249" t="s">
        <v>32</v>
      </c>
      <c r="B25" s="250"/>
      <c r="C25" s="251"/>
      <c r="D25" s="119">
        <f>원가계산서!F24</f>
        <v>0</v>
      </c>
      <c r="E25" s="25" t="s">
        <v>27</v>
      </c>
    </row>
    <row r="26" spans="1:5" ht="20.100000000000001" customHeight="1">
      <c r="A26" s="249" t="s">
        <v>33</v>
      </c>
      <c r="B26" s="250"/>
      <c r="C26" s="251"/>
      <c r="D26" s="119">
        <f>원가계산서!F25</f>
        <v>0</v>
      </c>
      <c r="E26" s="25" t="s">
        <v>95</v>
      </c>
    </row>
    <row r="27" spans="1:5" ht="20.100000000000001" customHeight="1" thickBot="1">
      <c r="A27" s="252" t="s">
        <v>34</v>
      </c>
      <c r="B27" s="253"/>
      <c r="C27" s="254"/>
      <c r="D27" s="120">
        <f>D26*0.1</f>
        <v>0</v>
      </c>
      <c r="E27" s="26" t="s">
        <v>23</v>
      </c>
    </row>
    <row r="28" spans="1:5" ht="36.75" customHeight="1" thickTop="1" thickBot="1">
      <c r="A28" s="243" t="s">
        <v>35</v>
      </c>
      <c r="B28" s="244"/>
      <c r="C28" s="245"/>
      <c r="D28" s="164">
        <f>ROUNDDOWN(D26+D27,-4)</f>
        <v>0</v>
      </c>
      <c r="E28" s="165" t="s">
        <v>162</v>
      </c>
    </row>
  </sheetData>
  <mergeCells count="20">
    <mergeCell ref="A1:E1"/>
    <mergeCell ref="A4:A7"/>
    <mergeCell ref="A3:C3"/>
    <mergeCell ref="B7:C7"/>
    <mergeCell ref="B4:C4"/>
    <mergeCell ref="B5:C5"/>
    <mergeCell ref="B6:C6"/>
    <mergeCell ref="A8:A21"/>
    <mergeCell ref="B15:C15"/>
    <mergeCell ref="B16:C16"/>
    <mergeCell ref="B21:C21"/>
    <mergeCell ref="B8:B14"/>
    <mergeCell ref="B17:B19"/>
    <mergeCell ref="A28:C28"/>
    <mergeCell ref="A22:C22"/>
    <mergeCell ref="A23:C23"/>
    <mergeCell ref="A24:C24"/>
    <mergeCell ref="A25:C25"/>
    <mergeCell ref="A26:C26"/>
    <mergeCell ref="A27:C27"/>
  </mergeCells>
  <phoneticPr fontId="2" type="noConversion"/>
  <printOptions horizontalCentered="1" verticalCentered="1"/>
  <pageMargins left="0.39370078740157483" right="0.39370078740157483" top="0.16" bottom="0.31" header="0.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SheetLayoutView="100" workbookViewId="0">
      <selection sqref="A1:I1"/>
    </sheetView>
  </sheetViews>
  <sheetFormatPr defaultRowHeight="18.95" customHeight="1"/>
  <cols>
    <col min="1" max="1" width="4.88671875" style="3" customWidth="1"/>
    <col min="2" max="2" width="3.44140625" style="6" customWidth="1"/>
    <col min="3" max="3" width="15.88671875" style="4" customWidth="1"/>
    <col min="4" max="4" width="10.21875" style="4" customWidth="1"/>
    <col min="5" max="5" width="8" style="5" customWidth="1"/>
    <col min="6" max="6" width="6" style="4" bestFit="1" customWidth="1"/>
    <col min="7" max="7" width="3.88671875" style="4" customWidth="1"/>
    <col min="8" max="8" width="20.44140625" style="4" bestFit="1" customWidth="1"/>
    <col min="9" max="9" width="41.5546875" style="4" customWidth="1"/>
    <col min="10" max="16384" width="8.88671875" style="3"/>
  </cols>
  <sheetData>
    <row r="1" spans="1:9" ht="64.5" customHeight="1" thickBot="1">
      <c r="A1" s="298" t="s">
        <v>140</v>
      </c>
      <c r="B1" s="299"/>
      <c r="C1" s="299"/>
      <c r="D1" s="299"/>
      <c r="E1" s="299"/>
      <c r="F1" s="299"/>
      <c r="G1" s="299"/>
      <c r="H1" s="299"/>
      <c r="I1" s="299"/>
    </row>
    <row r="2" spans="1:9" ht="40.5" customHeight="1" thickBot="1">
      <c r="A2" s="270" t="s">
        <v>47</v>
      </c>
      <c r="B2" s="271"/>
      <c r="C2" s="300"/>
      <c r="D2" s="176" t="s">
        <v>15</v>
      </c>
      <c r="E2" s="178" t="s">
        <v>21</v>
      </c>
      <c r="F2" s="176" t="s">
        <v>45</v>
      </c>
      <c r="G2" s="176" t="s">
        <v>46</v>
      </c>
      <c r="H2" s="176" t="s">
        <v>119</v>
      </c>
      <c r="I2" s="160" t="s">
        <v>48</v>
      </c>
    </row>
    <row r="3" spans="1:9" ht="30" customHeight="1" thickTop="1">
      <c r="A3" s="304" t="s">
        <v>120</v>
      </c>
      <c r="B3" s="274" t="s">
        <v>39</v>
      </c>
      <c r="C3" s="275"/>
      <c r="D3" s="40">
        <f>설계내역서!I6</f>
        <v>0</v>
      </c>
      <c r="E3" s="41">
        <f>설계내역서!C6</f>
        <v>1</v>
      </c>
      <c r="F3" s="40" t="s">
        <v>9</v>
      </c>
      <c r="G3" s="42">
        <v>5</v>
      </c>
      <c r="H3" s="43">
        <f>D3*E3*G3</f>
        <v>0</v>
      </c>
      <c r="I3" s="44"/>
    </row>
    <row r="4" spans="1:9" ht="30" customHeight="1">
      <c r="A4" s="305"/>
      <c r="B4" s="276" t="s">
        <v>40</v>
      </c>
      <c r="C4" s="277"/>
      <c r="D4" s="45">
        <f>설계내역서!I7</f>
        <v>0</v>
      </c>
      <c r="E4" s="46">
        <v>1</v>
      </c>
      <c r="F4" s="47" t="s">
        <v>10</v>
      </c>
      <c r="G4" s="48">
        <v>5</v>
      </c>
      <c r="H4" s="49">
        <f>ROUND(D4*E4*G4,0)</f>
        <v>0</v>
      </c>
      <c r="I4" s="50"/>
    </row>
    <row r="5" spans="1:9" ht="30" customHeight="1">
      <c r="A5" s="305"/>
      <c r="B5" s="314" t="s">
        <v>109</v>
      </c>
      <c r="C5" s="315"/>
      <c r="D5" s="242"/>
      <c r="E5" s="235">
        <f>설계내역서!C8</f>
        <v>0.8</v>
      </c>
      <c r="F5" s="114" t="s">
        <v>11</v>
      </c>
      <c r="G5" s="63">
        <v>5</v>
      </c>
      <c r="H5" s="64">
        <f>D5*E5*G5</f>
        <v>0</v>
      </c>
      <c r="I5" s="236"/>
    </row>
    <row r="6" spans="1:9" ht="30" customHeight="1" thickBot="1">
      <c r="A6" s="306"/>
      <c r="B6" s="309" t="s">
        <v>36</v>
      </c>
      <c r="C6" s="310"/>
      <c r="D6" s="311"/>
      <c r="E6" s="311"/>
      <c r="F6" s="311"/>
      <c r="G6" s="311"/>
      <c r="H6" s="179">
        <f>SUM(H3:H5)</f>
        <v>0</v>
      </c>
      <c r="I6" s="180"/>
    </row>
    <row r="7" spans="1:9" ht="30" customHeight="1">
      <c r="A7" s="304" t="s">
        <v>118</v>
      </c>
      <c r="B7" s="312" t="s">
        <v>117</v>
      </c>
      <c r="C7" s="51" t="s">
        <v>41</v>
      </c>
      <c r="D7" s="52">
        <f>설계내역서!I13</f>
        <v>0</v>
      </c>
      <c r="E7" s="53">
        <v>1</v>
      </c>
      <c r="F7" s="54" t="s">
        <v>9</v>
      </c>
      <c r="G7" s="55">
        <v>5</v>
      </c>
      <c r="H7" s="166">
        <f>D7*E7*G7</f>
        <v>0</v>
      </c>
      <c r="I7" s="20" t="s">
        <v>149</v>
      </c>
    </row>
    <row r="8" spans="1:9" s="15" customFormat="1" ht="30" customHeight="1">
      <c r="A8" s="307"/>
      <c r="B8" s="313"/>
      <c r="C8" s="56" t="s">
        <v>85</v>
      </c>
      <c r="D8" s="45">
        <f>설계내역서!I14</f>
        <v>0</v>
      </c>
      <c r="E8" s="57">
        <v>1</v>
      </c>
      <c r="F8" s="58" t="s">
        <v>86</v>
      </c>
      <c r="G8" s="48">
        <v>5</v>
      </c>
      <c r="H8" s="49">
        <f>D8*E8*G8</f>
        <v>0</v>
      </c>
      <c r="I8" s="19" t="s">
        <v>150</v>
      </c>
    </row>
    <row r="9" spans="1:9" ht="30" customHeight="1">
      <c r="A9" s="307"/>
      <c r="B9" s="313"/>
      <c r="C9" s="56" t="s">
        <v>87</v>
      </c>
      <c r="D9" s="45">
        <f>설계내역서!I15</f>
        <v>0</v>
      </c>
      <c r="E9" s="57">
        <v>1</v>
      </c>
      <c r="F9" s="58" t="s">
        <v>86</v>
      </c>
      <c r="G9" s="48">
        <v>5</v>
      </c>
      <c r="H9" s="49">
        <f t="shared" ref="H9:H12" si="0">D9*E9*G9</f>
        <v>0</v>
      </c>
      <c r="I9" s="19" t="s">
        <v>151</v>
      </c>
    </row>
    <row r="10" spans="1:9" ht="30" customHeight="1">
      <c r="A10" s="307"/>
      <c r="B10" s="313"/>
      <c r="C10" s="56" t="s">
        <v>88</v>
      </c>
      <c r="D10" s="45">
        <f>설계내역서!I17</f>
        <v>0</v>
      </c>
      <c r="E10" s="57">
        <v>1</v>
      </c>
      <c r="F10" s="58" t="s">
        <v>86</v>
      </c>
      <c r="G10" s="48">
        <v>5</v>
      </c>
      <c r="H10" s="49">
        <f t="shared" si="0"/>
        <v>0</v>
      </c>
      <c r="I10" s="19" t="s">
        <v>152</v>
      </c>
    </row>
    <row r="11" spans="1:9" s="15" customFormat="1" ht="30" customHeight="1">
      <c r="A11" s="307"/>
      <c r="B11" s="313"/>
      <c r="C11" s="56" t="s">
        <v>89</v>
      </c>
      <c r="D11" s="45">
        <f>설계내역서!I16</f>
        <v>0</v>
      </c>
      <c r="E11" s="57">
        <v>1</v>
      </c>
      <c r="F11" s="58" t="s">
        <v>86</v>
      </c>
      <c r="G11" s="48">
        <v>5</v>
      </c>
      <c r="H11" s="49">
        <f t="shared" si="0"/>
        <v>0</v>
      </c>
      <c r="I11" s="19" t="s">
        <v>153</v>
      </c>
    </row>
    <row r="12" spans="1:9" ht="30" customHeight="1">
      <c r="A12" s="307"/>
      <c r="B12" s="313"/>
      <c r="C12" s="56" t="s">
        <v>0</v>
      </c>
      <c r="D12" s="45">
        <f>설계내역서!I18</f>
        <v>0</v>
      </c>
      <c r="E12" s="57">
        <v>1</v>
      </c>
      <c r="F12" s="58" t="s">
        <v>9</v>
      </c>
      <c r="G12" s="48">
        <v>5</v>
      </c>
      <c r="H12" s="49">
        <f t="shared" si="0"/>
        <v>0</v>
      </c>
      <c r="I12" s="19" t="s">
        <v>154</v>
      </c>
    </row>
    <row r="13" spans="1:9" ht="30" customHeight="1">
      <c r="A13" s="307"/>
      <c r="B13" s="313"/>
      <c r="C13" s="59" t="s">
        <v>56</v>
      </c>
      <c r="D13" s="60">
        <f>설계내역서!I19</f>
        <v>0</v>
      </c>
      <c r="E13" s="61">
        <v>1</v>
      </c>
      <c r="F13" s="62" t="s">
        <v>57</v>
      </c>
      <c r="G13" s="63">
        <v>5</v>
      </c>
      <c r="H13" s="64">
        <f>D13*E13*G13</f>
        <v>0</v>
      </c>
      <c r="I13" s="21" t="s">
        <v>155</v>
      </c>
    </row>
    <row r="14" spans="1:9" ht="48">
      <c r="A14" s="307"/>
      <c r="B14" s="316" t="s">
        <v>107</v>
      </c>
      <c r="C14" s="317"/>
      <c r="D14" s="239"/>
      <c r="E14" s="66">
        <v>1</v>
      </c>
      <c r="F14" s="67" t="s">
        <v>108</v>
      </c>
      <c r="G14" s="68" t="s">
        <v>146</v>
      </c>
      <c r="H14" s="69">
        <f>D14*E14*G14</f>
        <v>0</v>
      </c>
      <c r="I14" s="348" t="s">
        <v>186</v>
      </c>
    </row>
    <row r="15" spans="1:9" ht="30" customHeight="1">
      <c r="A15" s="307"/>
      <c r="B15" s="316" t="s">
        <v>49</v>
      </c>
      <c r="C15" s="317"/>
      <c r="D15" s="65">
        <f>설계내역서!E26</f>
        <v>0</v>
      </c>
      <c r="E15" s="66">
        <v>0.42</v>
      </c>
      <c r="F15" s="67" t="s">
        <v>19</v>
      </c>
      <c r="G15" s="68" t="s">
        <v>37</v>
      </c>
      <c r="H15" s="69">
        <f t="shared" ref="H15:H19" si="1">D15*E15</f>
        <v>0</v>
      </c>
      <c r="I15" s="23" t="s">
        <v>135</v>
      </c>
    </row>
    <row r="16" spans="1:9" ht="30" customHeight="1">
      <c r="A16" s="307"/>
      <c r="B16" s="318" t="s">
        <v>26</v>
      </c>
      <c r="C16" s="230" t="s">
        <v>110</v>
      </c>
      <c r="D16" s="71"/>
      <c r="E16" s="72">
        <v>0.42</v>
      </c>
      <c r="F16" s="73" t="s">
        <v>99</v>
      </c>
      <c r="G16" s="74"/>
      <c r="H16" s="75">
        <f t="shared" si="1"/>
        <v>0</v>
      </c>
      <c r="I16" s="38" t="s">
        <v>156</v>
      </c>
    </row>
    <row r="17" spans="1:9" ht="30" customHeight="1">
      <c r="A17" s="307"/>
      <c r="B17" s="319"/>
      <c r="C17" s="231" t="s">
        <v>160</v>
      </c>
      <c r="D17" s="76"/>
      <c r="E17" s="77">
        <v>0.42</v>
      </c>
      <c r="F17" s="78" t="s">
        <v>65</v>
      </c>
      <c r="G17" s="79"/>
      <c r="H17" s="80">
        <f>D17*E17</f>
        <v>0</v>
      </c>
      <c r="I17" s="37" t="s">
        <v>163</v>
      </c>
    </row>
    <row r="18" spans="1:9" ht="30" customHeight="1">
      <c r="A18" s="307"/>
      <c r="B18" s="312"/>
      <c r="C18" s="232" t="s">
        <v>66</v>
      </c>
      <c r="D18" s="60"/>
      <c r="E18" s="61">
        <v>0.42</v>
      </c>
      <c r="F18" s="62" t="s">
        <v>65</v>
      </c>
      <c r="G18" s="81"/>
      <c r="H18" s="64">
        <f>D18*E18</f>
        <v>0</v>
      </c>
      <c r="I18" s="21" t="s">
        <v>164</v>
      </c>
    </row>
    <row r="19" spans="1:9" ht="30" customHeight="1">
      <c r="A19" s="307"/>
      <c r="B19" s="110" t="s">
        <v>28</v>
      </c>
      <c r="C19" s="233" t="s">
        <v>161</v>
      </c>
      <c r="D19" s="65">
        <f>설계내역서!E28</f>
        <v>0</v>
      </c>
      <c r="E19" s="66">
        <f>설계내역서!C28</f>
        <v>0.97</v>
      </c>
      <c r="F19" s="67" t="s">
        <v>19</v>
      </c>
      <c r="G19" s="68" t="s">
        <v>37</v>
      </c>
      <c r="H19" s="69">
        <f t="shared" si="1"/>
        <v>0</v>
      </c>
      <c r="I19" s="23" t="str">
        <f>설계내역서!B28</f>
        <v xml:space="preserve"> 9,700km÷10,000㎞/회 =0.97회</v>
      </c>
    </row>
    <row r="20" spans="1:9" ht="30" customHeight="1" thickBot="1">
      <c r="A20" s="308"/>
      <c r="B20" s="301" t="s">
        <v>36</v>
      </c>
      <c r="C20" s="302"/>
      <c r="D20" s="303"/>
      <c r="E20" s="303"/>
      <c r="F20" s="303"/>
      <c r="G20" s="303"/>
      <c r="H20" s="181">
        <f>SUM(H14:H19,H7:H13)</f>
        <v>0</v>
      </c>
      <c r="I20" s="182"/>
    </row>
    <row r="21" spans="1:9" ht="30" customHeight="1">
      <c r="A21" s="294" t="s">
        <v>29</v>
      </c>
      <c r="B21" s="295"/>
      <c r="C21" s="296"/>
      <c r="D21" s="297"/>
      <c r="E21" s="297"/>
      <c r="F21" s="285">
        <f>SUM(H20,H6)</f>
        <v>0</v>
      </c>
      <c r="G21" s="285"/>
      <c r="H21" s="285"/>
      <c r="I21" s="24" t="s">
        <v>22</v>
      </c>
    </row>
    <row r="22" spans="1:9" ht="30" customHeight="1">
      <c r="A22" s="290" t="s">
        <v>30</v>
      </c>
      <c r="B22" s="291"/>
      <c r="C22" s="292"/>
      <c r="D22" s="293"/>
      <c r="E22" s="293"/>
      <c r="F22" s="286">
        <f>F21*5.95%</f>
        <v>0</v>
      </c>
      <c r="G22" s="286"/>
      <c r="H22" s="286"/>
      <c r="I22" s="25" t="s">
        <v>137</v>
      </c>
    </row>
    <row r="23" spans="1:9" ht="30" customHeight="1">
      <c r="A23" s="290" t="s">
        <v>31</v>
      </c>
      <c r="B23" s="291"/>
      <c r="C23" s="292"/>
      <c r="D23" s="293"/>
      <c r="E23" s="293"/>
      <c r="F23" s="286">
        <f>SUM(F21:H22)</f>
        <v>0</v>
      </c>
      <c r="G23" s="286"/>
      <c r="H23" s="286"/>
      <c r="I23" s="25" t="s">
        <v>25</v>
      </c>
    </row>
    <row r="24" spans="1:9" ht="30" customHeight="1">
      <c r="A24" s="290" t="s">
        <v>94</v>
      </c>
      <c r="B24" s="291"/>
      <c r="C24" s="292"/>
      <c r="D24" s="293"/>
      <c r="E24" s="293"/>
      <c r="F24" s="286">
        <f>(F23-(H19))*9.920929%</f>
        <v>0</v>
      </c>
      <c r="G24" s="286"/>
      <c r="H24" s="286"/>
      <c r="I24" s="25" t="s">
        <v>27</v>
      </c>
    </row>
    <row r="25" spans="1:9" ht="30" customHeight="1">
      <c r="A25" s="290" t="s">
        <v>33</v>
      </c>
      <c r="B25" s="291"/>
      <c r="C25" s="292"/>
      <c r="D25" s="293"/>
      <c r="E25" s="293"/>
      <c r="F25" s="286">
        <f>F23+F24</f>
        <v>0</v>
      </c>
      <c r="G25" s="286"/>
      <c r="H25" s="286"/>
      <c r="I25" s="25" t="s">
        <v>95</v>
      </c>
    </row>
    <row r="26" spans="1:9" ht="30" customHeight="1" thickBot="1">
      <c r="A26" s="281" t="s">
        <v>34</v>
      </c>
      <c r="B26" s="282"/>
      <c r="C26" s="283"/>
      <c r="D26" s="284"/>
      <c r="E26" s="284"/>
      <c r="F26" s="289">
        <f>F25*10%</f>
        <v>0</v>
      </c>
      <c r="G26" s="289"/>
      <c r="H26" s="289"/>
      <c r="I26" s="26" t="s">
        <v>23</v>
      </c>
    </row>
    <row r="27" spans="1:9" ht="30" customHeight="1" thickTop="1" thickBot="1">
      <c r="A27" s="243" t="s">
        <v>35</v>
      </c>
      <c r="B27" s="244"/>
      <c r="C27" s="280"/>
      <c r="D27" s="280"/>
      <c r="E27" s="280"/>
      <c r="F27" s="287">
        <f>F25+F26</f>
        <v>0</v>
      </c>
      <c r="G27" s="288"/>
      <c r="H27" s="288"/>
      <c r="I27" s="165" t="s">
        <v>24</v>
      </c>
    </row>
    <row r="29" spans="1:9" ht="18.95" customHeight="1">
      <c r="F29" s="16"/>
    </row>
  </sheetData>
  <mergeCells count="27">
    <mergeCell ref="A1:I1"/>
    <mergeCell ref="A2:C2"/>
    <mergeCell ref="B3:C3"/>
    <mergeCell ref="B4:C4"/>
    <mergeCell ref="B20:G20"/>
    <mergeCell ref="A3:A6"/>
    <mergeCell ref="A7:A20"/>
    <mergeCell ref="B6:G6"/>
    <mergeCell ref="B7:B13"/>
    <mergeCell ref="B5:C5"/>
    <mergeCell ref="B14:C14"/>
    <mergeCell ref="B16:B18"/>
    <mergeCell ref="B15:C15"/>
    <mergeCell ref="A27:E27"/>
    <mergeCell ref="A26:E26"/>
    <mergeCell ref="F21:H21"/>
    <mergeCell ref="F22:H22"/>
    <mergeCell ref="F23:H23"/>
    <mergeCell ref="F27:H27"/>
    <mergeCell ref="F26:H26"/>
    <mergeCell ref="F25:H25"/>
    <mergeCell ref="F24:H24"/>
    <mergeCell ref="A23:E23"/>
    <mergeCell ref="A24:E24"/>
    <mergeCell ref="A25:E25"/>
    <mergeCell ref="A22:E22"/>
    <mergeCell ref="A21:E21"/>
  </mergeCells>
  <phoneticPr fontId="2" type="noConversion"/>
  <printOptions horizontalCentered="1" verticalCentered="1"/>
  <pageMargins left="0.39370078740157483" right="0.39370078740157483" top="0.27559055118110237" bottom="0.19685039370078741" header="0.15748031496062992" footer="0.1574803149606299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Normal="100" zoomScaleSheetLayoutView="85" workbookViewId="0">
      <selection sqref="A1:J1"/>
    </sheetView>
  </sheetViews>
  <sheetFormatPr defaultRowHeight="18.95" customHeight="1"/>
  <cols>
    <col min="1" max="1" width="16.5546875" style="4" customWidth="1"/>
    <col min="2" max="2" width="28.5546875" style="4" customWidth="1"/>
    <col min="3" max="3" width="8" style="5" customWidth="1"/>
    <col min="4" max="4" width="6" style="4" bestFit="1" customWidth="1"/>
    <col min="5" max="6" width="12.77734375" style="4" customWidth="1"/>
    <col min="7" max="7" width="9.88671875" style="4" bestFit="1" customWidth="1"/>
    <col min="8" max="8" width="13.44140625" style="4" bestFit="1" customWidth="1"/>
    <col min="9" max="9" width="14.6640625" style="4" bestFit="1" customWidth="1"/>
    <col min="10" max="10" width="56.6640625" style="3" customWidth="1"/>
    <col min="11" max="12" width="0" style="3" hidden="1" customWidth="1"/>
    <col min="13" max="16384" width="8.88671875" style="3"/>
  </cols>
  <sheetData>
    <row r="1" spans="1:23" ht="59.25" customHeight="1">
      <c r="A1" s="331" t="s">
        <v>139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23" ht="28.5" customHeight="1" thickBot="1">
      <c r="A2" s="156"/>
      <c r="B2" s="157"/>
      <c r="C2" s="157"/>
      <c r="D2" s="157"/>
      <c r="E2" s="157"/>
      <c r="F2" s="157"/>
      <c r="G2" s="157"/>
      <c r="H2" s="157"/>
      <c r="I2" s="157"/>
      <c r="J2" s="158" t="s">
        <v>143</v>
      </c>
    </row>
    <row r="3" spans="1:23" ht="30" customHeight="1">
      <c r="A3" s="183" t="s">
        <v>3</v>
      </c>
      <c r="B3" s="184"/>
      <c r="C3" s="185"/>
      <c r="D3" s="184"/>
      <c r="E3" s="186"/>
      <c r="F3" s="186"/>
      <c r="G3" s="187"/>
      <c r="H3" s="187"/>
      <c r="I3" s="326" t="s">
        <v>129</v>
      </c>
      <c r="J3" s="188"/>
    </row>
    <row r="4" spans="1:23" ht="15" customHeight="1">
      <c r="A4" s="320" t="s">
        <v>4</v>
      </c>
      <c r="B4" s="323" t="s">
        <v>5</v>
      </c>
      <c r="C4" s="322" t="s">
        <v>17</v>
      </c>
      <c r="D4" s="321" t="s">
        <v>2</v>
      </c>
      <c r="E4" s="323" t="s">
        <v>64</v>
      </c>
      <c r="F4" s="323"/>
      <c r="G4" s="324" t="s">
        <v>96</v>
      </c>
      <c r="H4" s="325"/>
      <c r="I4" s="303"/>
      <c r="J4" s="189" t="s">
        <v>6</v>
      </c>
    </row>
    <row r="5" spans="1:23" ht="15" customHeight="1">
      <c r="A5" s="320"/>
      <c r="B5" s="323"/>
      <c r="C5" s="322"/>
      <c r="D5" s="321"/>
      <c r="E5" s="190" t="s">
        <v>7</v>
      </c>
      <c r="F5" s="190" t="s">
        <v>8</v>
      </c>
      <c r="G5" s="191" t="s">
        <v>90</v>
      </c>
      <c r="H5" s="191" t="s">
        <v>91</v>
      </c>
      <c r="I5" s="327"/>
      <c r="J5" s="192" t="s">
        <v>1</v>
      </c>
    </row>
    <row r="6" spans="1:23" ht="20.100000000000001" customHeight="1">
      <c r="A6" s="82" t="s">
        <v>20</v>
      </c>
      <c r="B6" s="83"/>
      <c r="C6" s="84">
        <v>1</v>
      </c>
      <c r="D6" s="85" t="s">
        <v>9</v>
      </c>
      <c r="E6" s="237">
        <f>노무임별단가!F4</f>
        <v>0</v>
      </c>
      <c r="F6" s="85">
        <f>C6*E6</f>
        <v>0</v>
      </c>
      <c r="G6" s="86">
        <f>노무임별단가!F5</f>
        <v>0</v>
      </c>
      <c r="H6" s="85">
        <f>C6*G6</f>
        <v>0</v>
      </c>
      <c r="I6" s="86">
        <f>F6+H6</f>
        <v>0</v>
      </c>
      <c r="J6" s="27"/>
    </row>
    <row r="7" spans="1:23" s="11" customFormat="1" ht="121.5" customHeight="1">
      <c r="A7" s="87" t="s">
        <v>67</v>
      </c>
      <c r="B7" s="88" t="s">
        <v>53</v>
      </c>
      <c r="C7" s="89">
        <v>8.69</v>
      </c>
      <c r="D7" s="90" t="s">
        <v>10</v>
      </c>
      <c r="E7" s="91">
        <f>노무임별단가!G4*1.5</f>
        <v>0</v>
      </c>
      <c r="F7" s="90">
        <f>C7*E7</f>
        <v>0</v>
      </c>
      <c r="G7" s="92">
        <f>노무임별단가!G5*1.5</f>
        <v>0</v>
      </c>
      <c r="H7" s="85">
        <f t="shared" ref="H7:H8" si="0">C7*G7</f>
        <v>0</v>
      </c>
      <c r="I7" s="86">
        <f>F7+H7</f>
        <v>0</v>
      </c>
      <c r="J7" s="350" t="s">
        <v>188</v>
      </c>
      <c r="K7" s="10" t="s">
        <v>68</v>
      </c>
      <c r="L7" s="10" t="s">
        <v>69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7" customFormat="1" ht="20.100000000000001" customHeight="1">
      <c r="A8" s="87" t="s">
        <v>122</v>
      </c>
      <c r="B8" s="88" t="s">
        <v>184</v>
      </c>
      <c r="C8" s="93">
        <v>0.8</v>
      </c>
      <c r="D8" s="90" t="s">
        <v>54</v>
      </c>
      <c r="E8" s="91">
        <f>노무임별단가!H4</f>
        <v>0</v>
      </c>
      <c r="F8" s="90">
        <f>C8*E8</f>
        <v>0</v>
      </c>
      <c r="G8" s="92">
        <f>노무임별단가!H5</f>
        <v>0</v>
      </c>
      <c r="H8" s="85">
        <f t="shared" si="0"/>
        <v>0</v>
      </c>
      <c r="I8" s="86">
        <f>ROUND(F8+H8,0)</f>
        <v>0</v>
      </c>
      <c r="J8" s="28" t="s">
        <v>147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7" customFormat="1" ht="20.100000000000001" customHeight="1" thickBot="1">
      <c r="A9" s="194" t="s">
        <v>18</v>
      </c>
      <c r="B9" s="195"/>
      <c r="C9" s="196"/>
      <c r="D9" s="197"/>
      <c r="E9" s="198"/>
      <c r="F9" s="199">
        <f>SUM(F6:F8)</f>
        <v>0</v>
      </c>
      <c r="G9" s="200"/>
      <c r="H9" s="199">
        <f>SUM(H6:H8)</f>
        <v>0</v>
      </c>
      <c r="I9" s="200">
        <f>F9+H9</f>
        <v>0</v>
      </c>
      <c r="J9" s="20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7" customFormat="1" ht="30" customHeight="1">
      <c r="A10" s="223" t="s">
        <v>16</v>
      </c>
      <c r="B10" s="224"/>
      <c r="C10" s="225"/>
      <c r="D10" s="193"/>
      <c r="E10" s="226"/>
      <c r="F10" s="226"/>
      <c r="G10" s="227"/>
      <c r="H10" s="227"/>
      <c r="I10" s="328" t="s">
        <v>93</v>
      </c>
      <c r="J10" s="228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7" customFormat="1" ht="15" customHeight="1">
      <c r="A11" s="320" t="s">
        <v>12</v>
      </c>
      <c r="B11" s="323" t="s">
        <v>5</v>
      </c>
      <c r="C11" s="322" t="s">
        <v>17</v>
      </c>
      <c r="D11" s="321" t="s">
        <v>2</v>
      </c>
      <c r="E11" s="323" t="str">
        <f>E4</f>
        <v>운   전   원</v>
      </c>
      <c r="F11" s="323"/>
      <c r="G11" s="324" t="s">
        <v>96</v>
      </c>
      <c r="H11" s="325"/>
      <c r="I11" s="328"/>
      <c r="J11" s="189" t="s">
        <v>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7" customFormat="1" ht="15" customHeight="1">
      <c r="A12" s="320"/>
      <c r="B12" s="323"/>
      <c r="C12" s="322"/>
      <c r="D12" s="321"/>
      <c r="E12" s="190" t="s">
        <v>7</v>
      </c>
      <c r="F12" s="190" t="s">
        <v>8</v>
      </c>
      <c r="G12" s="191" t="s">
        <v>90</v>
      </c>
      <c r="H12" s="191" t="s">
        <v>91</v>
      </c>
      <c r="I12" s="329"/>
      <c r="J12" s="192" t="s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7" customFormat="1" ht="20.100000000000001" customHeight="1">
      <c r="A13" s="94" t="s">
        <v>104</v>
      </c>
      <c r="B13" s="88" t="s">
        <v>114</v>
      </c>
      <c r="C13" s="93">
        <f>45/1000</f>
        <v>4.4999999999999998E-2</v>
      </c>
      <c r="D13" s="95" t="s">
        <v>9</v>
      </c>
      <c r="E13" s="96">
        <f>SUM(F6+F7+F8)</f>
        <v>0</v>
      </c>
      <c r="F13" s="96">
        <f>INT(C13*E13)</f>
        <v>0</v>
      </c>
      <c r="G13" s="96">
        <f>SUM(H6+H7+H8)</f>
        <v>0</v>
      </c>
      <c r="H13" s="97">
        <f t="shared" ref="H13:H19" si="1">INT(C13*G13)</f>
        <v>0</v>
      </c>
      <c r="I13" s="109">
        <f t="shared" ref="I13:I19" si="2">F13+H13</f>
        <v>0</v>
      </c>
      <c r="J13" s="29" t="s">
        <v>61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8" customFormat="1" ht="20.100000000000001" customHeight="1">
      <c r="A14" s="98" t="s">
        <v>105</v>
      </c>
      <c r="B14" s="99" t="s">
        <v>113</v>
      </c>
      <c r="C14" s="100">
        <f>34.95/1000</f>
        <v>3.4950000000000002E-2</v>
      </c>
      <c r="D14" s="101" t="s">
        <v>55</v>
      </c>
      <c r="E14" s="97">
        <f>E13</f>
        <v>0</v>
      </c>
      <c r="F14" s="97">
        <f>C14*E14</f>
        <v>0</v>
      </c>
      <c r="G14" s="97">
        <f>G13</f>
        <v>0</v>
      </c>
      <c r="H14" s="97">
        <f t="shared" si="1"/>
        <v>0</v>
      </c>
      <c r="I14" s="109">
        <f t="shared" si="2"/>
        <v>0</v>
      </c>
      <c r="J14" s="30" t="s">
        <v>72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8" customFormat="1" ht="20.100000000000001" customHeight="1">
      <c r="A15" s="98" t="s">
        <v>106</v>
      </c>
      <c r="B15" s="99" t="s">
        <v>112</v>
      </c>
      <c r="C15" s="100">
        <f>9/1000</f>
        <v>8.9999999999999993E-3</v>
      </c>
      <c r="D15" s="101" t="s">
        <v>59</v>
      </c>
      <c r="E15" s="97">
        <f>SUM(F6+F7+F8)</f>
        <v>0</v>
      </c>
      <c r="F15" s="97">
        <f>INT(C15*E15)</f>
        <v>0</v>
      </c>
      <c r="G15" s="97">
        <f>SUM(H6+H7+H8)</f>
        <v>0</v>
      </c>
      <c r="H15" s="97">
        <f>INT(C15*G15)</f>
        <v>0</v>
      </c>
      <c r="I15" s="109">
        <f>F15+H15</f>
        <v>0</v>
      </c>
      <c r="J15" s="30" t="s">
        <v>60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8" customFormat="1" ht="20.100000000000001" customHeight="1">
      <c r="A16" s="98" t="s">
        <v>100</v>
      </c>
      <c r="B16" s="99" t="s">
        <v>98</v>
      </c>
      <c r="C16" s="100">
        <f>12.27/100</f>
        <v>0.12269999999999999</v>
      </c>
      <c r="D16" s="101" t="s">
        <v>55</v>
      </c>
      <c r="E16" s="97">
        <f>F14</f>
        <v>0</v>
      </c>
      <c r="F16" s="97">
        <f>INT(C16*E16)</f>
        <v>0</v>
      </c>
      <c r="G16" s="97">
        <f>H14</f>
        <v>0</v>
      </c>
      <c r="H16" s="97">
        <f t="shared" si="1"/>
        <v>0</v>
      </c>
      <c r="I16" s="109">
        <f t="shared" si="2"/>
        <v>0</v>
      </c>
      <c r="J16" s="30" t="s">
        <v>62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8" customFormat="1" ht="20.100000000000001" customHeight="1">
      <c r="A17" s="98" t="s">
        <v>101</v>
      </c>
      <c r="B17" s="99" t="s">
        <v>111</v>
      </c>
      <c r="C17" s="100">
        <f>10.5/1000</f>
        <v>1.0500000000000001E-2</v>
      </c>
      <c r="D17" s="101" t="s">
        <v>9</v>
      </c>
      <c r="E17" s="97">
        <f>E15</f>
        <v>0</v>
      </c>
      <c r="F17" s="97">
        <f t="shared" ref="F17:F19" si="3">INT(C17*E17)</f>
        <v>0</v>
      </c>
      <c r="G17" s="97">
        <f>G15</f>
        <v>0</v>
      </c>
      <c r="H17" s="97">
        <f t="shared" si="1"/>
        <v>0</v>
      </c>
      <c r="I17" s="109">
        <f t="shared" si="2"/>
        <v>0</v>
      </c>
      <c r="J17" s="30" t="s">
        <v>71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1" customFormat="1" ht="20.100000000000001" customHeight="1">
      <c r="A18" s="98" t="s">
        <v>102</v>
      </c>
      <c r="B18" s="99" t="s">
        <v>115</v>
      </c>
      <c r="C18" s="100">
        <v>5.9999999999999995E-4</v>
      </c>
      <c r="D18" s="101" t="s">
        <v>9</v>
      </c>
      <c r="E18" s="97">
        <f>SUM(F6+F7+F8)</f>
        <v>0</v>
      </c>
      <c r="F18" s="97">
        <f t="shared" si="3"/>
        <v>0</v>
      </c>
      <c r="G18" s="97">
        <f>SUM(H6+H7+H8)</f>
        <v>0</v>
      </c>
      <c r="H18" s="97">
        <f t="shared" si="1"/>
        <v>0</v>
      </c>
      <c r="I18" s="109">
        <f t="shared" si="2"/>
        <v>0</v>
      </c>
      <c r="J18" s="30" t="s">
        <v>63</v>
      </c>
      <c r="M18" s="12"/>
      <c r="N18" s="12" t="s">
        <v>103</v>
      </c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20.100000000000001" customHeight="1">
      <c r="A19" s="168" t="s">
        <v>70</v>
      </c>
      <c r="B19" s="169" t="s">
        <v>116</v>
      </c>
      <c r="C19" s="170">
        <v>2.9999999999999997E-5</v>
      </c>
      <c r="D19" s="171" t="s">
        <v>58</v>
      </c>
      <c r="E19" s="172">
        <f>SUM(F6+F7+F8)</f>
        <v>0</v>
      </c>
      <c r="F19" s="172">
        <f t="shared" si="3"/>
        <v>0</v>
      </c>
      <c r="G19" s="172">
        <f>SUM(H6+H7+H8)</f>
        <v>0</v>
      </c>
      <c r="H19" s="172">
        <f t="shared" si="1"/>
        <v>0</v>
      </c>
      <c r="I19" s="173">
        <f t="shared" si="2"/>
        <v>0</v>
      </c>
      <c r="J19" s="174" t="s">
        <v>123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7" customFormat="1" ht="20.100000000000001" customHeight="1" thickBot="1">
      <c r="A20" s="194" t="s">
        <v>18</v>
      </c>
      <c r="B20" s="195"/>
      <c r="C20" s="196"/>
      <c r="D20" s="197"/>
      <c r="E20" s="198"/>
      <c r="F20" s="199">
        <f>SUM(F13:F19)</f>
        <v>0</v>
      </c>
      <c r="G20" s="200"/>
      <c r="H20" s="199">
        <f>SUM(H13:H19)</f>
        <v>0</v>
      </c>
      <c r="I20" s="200">
        <f t="shared" ref="I20" si="4">F20+H20</f>
        <v>0</v>
      </c>
      <c r="J20" s="201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7" customFormat="1" ht="18.95" customHeight="1" thickBot="1">
      <c r="A21" s="32"/>
      <c r="B21" s="32"/>
      <c r="C21" s="33"/>
      <c r="D21" s="32"/>
      <c r="E21" s="32"/>
      <c r="F21" s="32"/>
      <c r="G21" s="32"/>
      <c r="H21" s="32"/>
      <c r="I21" s="32"/>
      <c r="J21" s="34"/>
    </row>
    <row r="22" spans="1:23" s="7" customFormat="1" ht="30" customHeight="1">
      <c r="A22" s="183" t="s">
        <v>97</v>
      </c>
      <c r="B22" s="202"/>
      <c r="C22" s="203"/>
      <c r="D22" s="204"/>
      <c r="E22" s="205"/>
      <c r="F22" s="205"/>
      <c r="G22" s="206"/>
      <c r="H22" s="206"/>
      <c r="I22" s="330" t="s">
        <v>129</v>
      </c>
      <c r="J22" s="207"/>
    </row>
    <row r="23" spans="1:23" s="7" customFormat="1" ht="18.95" customHeight="1">
      <c r="A23" s="320" t="s">
        <v>14</v>
      </c>
      <c r="B23" s="323" t="s">
        <v>5</v>
      </c>
      <c r="C23" s="322" t="s">
        <v>17</v>
      </c>
      <c r="D23" s="321" t="s">
        <v>2</v>
      </c>
      <c r="E23" s="323" t="str">
        <f>E4</f>
        <v>운   전   원</v>
      </c>
      <c r="F23" s="323"/>
      <c r="G23" s="324" t="s">
        <v>92</v>
      </c>
      <c r="H23" s="325"/>
      <c r="I23" s="328"/>
      <c r="J23" s="208"/>
    </row>
    <row r="24" spans="1:23" s="7" customFormat="1" ht="18.95" customHeight="1">
      <c r="A24" s="320"/>
      <c r="B24" s="323"/>
      <c r="C24" s="322"/>
      <c r="D24" s="321"/>
      <c r="E24" s="190" t="s">
        <v>7</v>
      </c>
      <c r="F24" s="190" t="s">
        <v>8</v>
      </c>
      <c r="G24" s="191" t="s">
        <v>90</v>
      </c>
      <c r="H24" s="191" t="s">
        <v>91</v>
      </c>
      <c r="I24" s="329"/>
      <c r="J24" s="192" t="s">
        <v>1</v>
      </c>
    </row>
    <row r="25" spans="1:23" s="7" customFormat="1" ht="36">
      <c r="A25" s="87" t="s">
        <v>132</v>
      </c>
      <c r="B25" s="88" t="s">
        <v>183</v>
      </c>
      <c r="C25" s="93">
        <v>5</v>
      </c>
      <c r="D25" s="95" t="s">
        <v>9</v>
      </c>
      <c r="E25" s="172"/>
      <c r="F25" s="96">
        <f>C25*E25</f>
        <v>0</v>
      </c>
      <c r="G25" s="102"/>
      <c r="H25" s="102"/>
      <c r="I25" s="102">
        <f t="shared" ref="I25:I29" si="5">F25+H25</f>
        <v>0</v>
      </c>
      <c r="J25" s="349" t="s">
        <v>185</v>
      </c>
    </row>
    <row r="26" spans="1:23" s="7" customFormat="1" ht="20.100000000000001" customHeight="1">
      <c r="A26" s="103" t="s">
        <v>133</v>
      </c>
      <c r="B26" s="104" t="s">
        <v>145</v>
      </c>
      <c r="C26" s="105">
        <v>0.42</v>
      </c>
      <c r="D26" s="106" t="s">
        <v>51</v>
      </c>
      <c r="E26" s="107"/>
      <c r="F26" s="107">
        <f>C26*E26</f>
        <v>0</v>
      </c>
      <c r="G26" s="108"/>
      <c r="H26" s="108"/>
      <c r="I26" s="108">
        <f>F26+H26</f>
        <v>0</v>
      </c>
      <c r="J26" s="31" t="s">
        <v>136</v>
      </c>
    </row>
    <row r="27" spans="1:23" s="7" customFormat="1" ht="20.100000000000001" customHeight="1">
      <c r="A27" s="87" t="s">
        <v>134</v>
      </c>
      <c r="B27" s="88" t="s">
        <v>148</v>
      </c>
      <c r="C27" s="229">
        <v>0.42</v>
      </c>
      <c r="D27" s="95" t="s">
        <v>51</v>
      </c>
      <c r="E27" s="96"/>
      <c r="F27" s="96">
        <f>C27*E27</f>
        <v>0</v>
      </c>
      <c r="G27" s="102"/>
      <c r="H27" s="102"/>
      <c r="I27" s="102">
        <f>F27+H27</f>
        <v>0</v>
      </c>
      <c r="J27" s="29" t="s">
        <v>138</v>
      </c>
    </row>
    <row r="28" spans="1:23" s="7" customFormat="1" ht="24">
      <c r="A28" s="103" t="s">
        <v>157</v>
      </c>
      <c r="B28" s="104" t="s">
        <v>159</v>
      </c>
      <c r="C28" s="105">
        <v>0.97</v>
      </c>
      <c r="D28" s="106" t="s">
        <v>51</v>
      </c>
      <c r="E28" s="107"/>
      <c r="F28" s="107">
        <f>C28*E28</f>
        <v>0</v>
      </c>
      <c r="G28" s="108"/>
      <c r="H28" s="108"/>
      <c r="I28" s="108">
        <f t="shared" si="5"/>
        <v>0</v>
      </c>
      <c r="J28" s="35" t="s">
        <v>158</v>
      </c>
    </row>
    <row r="29" spans="1:23" ht="18.95" customHeight="1" thickBot="1">
      <c r="A29" s="194" t="s">
        <v>52</v>
      </c>
      <c r="B29" s="209"/>
      <c r="C29" s="210"/>
      <c r="D29" s="209"/>
      <c r="E29" s="209"/>
      <c r="F29" s="211">
        <f>SUM(F25,F26,F27,F28)</f>
        <v>0</v>
      </c>
      <c r="G29" s="212"/>
      <c r="H29" s="212"/>
      <c r="I29" s="212">
        <f t="shared" si="5"/>
        <v>0</v>
      </c>
      <c r="J29" s="213"/>
    </row>
    <row r="34" spans="6:6" ht="18.95" customHeight="1">
      <c r="F34" s="234"/>
    </row>
  </sheetData>
  <mergeCells count="22">
    <mergeCell ref="G23:H23"/>
    <mergeCell ref="I3:I5"/>
    <mergeCell ref="I10:I12"/>
    <mergeCell ref="I22:I24"/>
    <mergeCell ref="A1:J1"/>
    <mergeCell ref="B11:B12"/>
    <mergeCell ref="C4:C5"/>
    <mergeCell ref="D4:D5"/>
    <mergeCell ref="E4:F4"/>
    <mergeCell ref="E11:F11"/>
    <mergeCell ref="B4:B5"/>
    <mergeCell ref="A4:A5"/>
    <mergeCell ref="G4:H4"/>
    <mergeCell ref="G11:H11"/>
    <mergeCell ref="E23:F23"/>
    <mergeCell ref="D23:D24"/>
    <mergeCell ref="A11:A12"/>
    <mergeCell ref="D11:D12"/>
    <mergeCell ref="A23:A24"/>
    <mergeCell ref="C23:C24"/>
    <mergeCell ref="C11:C12"/>
    <mergeCell ref="B23:B24"/>
  </mergeCells>
  <phoneticPr fontId="2" type="noConversion"/>
  <printOptions horizontalCentered="1"/>
  <pageMargins left="0.39370078740157483" right="0.39370078740157483" top="0.39370078740157483" bottom="0.19685039370078741" header="0.15748031496062992" footer="0.1574803149606299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="85" zoomScaleNormal="85" zoomScaleSheetLayoutView="85" workbookViewId="0">
      <selection sqref="A1:I1"/>
    </sheetView>
  </sheetViews>
  <sheetFormatPr defaultRowHeight="13.5"/>
  <cols>
    <col min="1" max="1" width="4.88671875" style="1" customWidth="1"/>
    <col min="2" max="2" width="8.33203125" style="1" bestFit="1" customWidth="1"/>
    <col min="3" max="3" width="6.5546875" style="1" customWidth="1"/>
    <col min="4" max="4" width="12" style="1" customWidth="1"/>
    <col min="5" max="5" width="23.5546875" style="1" customWidth="1"/>
    <col min="6" max="6" width="14.6640625" style="1" customWidth="1"/>
    <col min="7" max="7" width="20.77734375" style="1" customWidth="1"/>
    <col min="8" max="8" width="18.88671875" style="1" customWidth="1"/>
    <col min="9" max="9" width="51" style="1" customWidth="1"/>
    <col min="10" max="16384" width="8.88671875" style="1"/>
  </cols>
  <sheetData>
    <row r="1" spans="1:9" ht="64.5" customHeight="1">
      <c r="A1" s="333" t="s">
        <v>144</v>
      </c>
      <c r="B1" s="334"/>
      <c r="C1" s="334"/>
      <c r="D1" s="334"/>
      <c r="E1" s="334"/>
      <c r="F1" s="334"/>
      <c r="G1" s="334"/>
      <c r="H1" s="334"/>
      <c r="I1" s="334"/>
    </row>
    <row r="2" spans="1:9" ht="18" thickBot="1">
      <c r="A2" s="36"/>
      <c r="B2" s="36"/>
      <c r="C2" s="36"/>
      <c r="D2" s="36"/>
      <c r="E2" s="36"/>
      <c r="F2" s="36"/>
      <c r="G2" s="36"/>
      <c r="H2" s="36"/>
      <c r="I2" s="149" t="s">
        <v>128</v>
      </c>
    </row>
    <row r="3" spans="1:9" s="2" customFormat="1" ht="63" customHeight="1">
      <c r="A3" s="214" t="s">
        <v>169</v>
      </c>
      <c r="B3" s="215" t="s">
        <v>167</v>
      </c>
      <c r="C3" s="216" t="s">
        <v>77</v>
      </c>
      <c r="D3" s="216" t="s">
        <v>167</v>
      </c>
      <c r="E3" s="216" t="s">
        <v>170</v>
      </c>
      <c r="F3" s="216" t="s">
        <v>171</v>
      </c>
      <c r="G3" s="217" t="s">
        <v>172</v>
      </c>
      <c r="H3" s="217" t="s">
        <v>173</v>
      </c>
      <c r="I3" s="218" t="s">
        <v>174</v>
      </c>
    </row>
    <row r="4" spans="1:9" ht="74.25" customHeight="1">
      <c r="A4" s="121">
        <v>1</v>
      </c>
      <c r="B4" s="126" t="s">
        <v>175</v>
      </c>
      <c r="C4" s="150">
        <v>1</v>
      </c>
      <c r="D4" s="126" t="s">
        <v>175</v>
      </c>
      <c r="E4" s="127" t="s">
        <v>176</v>
      </c>
      <c r="F4" s="127">
        <f>'기본급 산출'!J4</f>
        <v>0</v>
      </c>
      <c r="G4" s="240">
        <f>H4/8</f>
        <v>0</v>
      </c>
      <c r="H4" s="238"/>
      <c r="I4" s="128" t="s">
        <v>179</v>
      </c>
    </row>
    <row r="5" spans="1:9" ht="74.25" customHeight="1" thickBot="1">
      <c r="A5" s="122">
        <v>2</v>
      </c>
      <c r="B5" s="129" t="s">
        <v>177</v>
      </c>
      <c r="C5" s="151">
        <v>2</v>
      </c>
      <c r="D5" s="129" t="s">
        <v>177</v>
      </c>
      <c r="E5" s="130" t="s">
        <v>178</v>
      </c>
      <c r="F5" s="130">
        <f>'기본급 산출'!J5</f>
        <v>0</v>
      </c>
      <c r="G5" s="241">
        <f>H5/8</f>
        <v>0</v>
      </c>
      <c r="H5" s="131"/>
      <c r="I5" s="132" t="s">
        <v>180</v>
      </c>
    </row>
    <row r="6" spans="1:9">
      <c r="A6" s="335"/>
      <c r="B6" s="335"/>
      <c r="C6" s="335"/>
      <c r="D6" s="335"/>
      <c r="E6" s="335"/>
      <c r="F6" s="335"/>
      <c r="G6" s="335"/>
      <c r="H6" s="335"/>
      <c r="I6" s="335"/>
    </row>
    <row r="7" spans="1:9">
      <c r="A7" s="336"/>
      <c r="B7" s="336"/>
      <c r="C7" s="336"/>
      <c r="D7" s="336"/>
      <c r="E7" s="336"/>
      <c r="F7" s="336"/>
      <c r="G7" s="336"/>
      <c r="H7" s="336"/>
      <c r="I7" s="336"/>
    </row>
  </sheetData>
  <mergeCells count="2">
    <mergeCell ref="A1:I1"/>
    <mergeCell ref="A6:I7"/>
  </mergeCells>
  <phoneticPr fontId="2" type="noConversion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cellComments="asDisplayed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sqref="A1:K1"/>
    </sheetView>
  </sheetViews>
  <sheetFormatPr defaultRowHeight="13.5"/>
  <cols>
    <col min="1" max="1" width="6.5546875" customWidth="1"/>
    <col min="2" max="2" width="11.33203125" customWidth="1"/>
    <col min="3" max="3" width="19.109375" bestFit="1" customWidth="1"/>
    <col min="4" max="4" width="18.5546875" bestFit="1" customWidth="1"/>
    <col min="5" max="5" width="21.88671875" bestFit="1" customWidth="1"/>
    <col min="6" max="6" width="20.109375" bestFit="1" customWidth="1"/>
    <col min="7" max="7" width="21.44140625" bestFit="1" customWidth="1"/>
    <col min="8" max="8" width="19" bestFit="1" customWidth="1"/>
    <col min="9" max="11" width="15" bestFit="1" customWidth="1"/>
  </cols>
  <sheetData>
    <row r="1" spans="1:11" ht="36.75" customHeight="1">
      <c r="A1" s="339" t="s">
        <v>131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4.25" customHeight="1" thickBot="1">
      <c r="J2" s="148" t="s">
        <v>127</v>
      </c>
    </row>
    <row r="3" spans="1:11" ht="24.95" customHeight="1">
      <c r="A3" s="219" t="s">
        <v>77</v>
      </c>
      <c r="B3" s="220" t="s">
        <v>126</v>
      </c>
      <c r="C3" s="220" t="s">
        <v>78</v>
      </c>
      <c r="D3" s="220" t="s">
        <v>168</v>
      </c>
      <c r="E3" s="221" t="s">
        <v>79</v>
      </c>
      <c r="F3" s="221" t="s">
        <v>80</v>
      </c>
      <c r="G3" s="221" t="s">
        <v>81</v>
      </c>
      <c r="H3" s="221" t="s">
        <v>82</v>
      </c>
      <c r="I3" s="221" t="s">
        <v>83</v>
      </c>
      <c r="J3" s="222" t="s">
        <v>84</v>
      </c>
    </row>
    <row r="4" spans="1:11" ht="24.95" customHeight="1">
      <c r="A4" s="133">
        <v>1</v>
      </c>
      <c r="B4" s="134" t="s">
        <v>64</v>
      </c>
      <c r="C4" s="135">
        <f>D8</f>
        <v>0</v>
      </c>
      <c r="D4" s="135">
        <f>D9</f>
        <v>0</v>
      </c>
      <c r="E4" s="136"/>
      <c r="F4" s="137">
        <f>E4/8</f>
        <v>0</v>
      </c>
      <c r="G4" s="137">
        <f>D10</f>
        <v>0</v>
      </c>
      <c r="H4" s="137">
        <f>G4/87.745%</f>
        <v>0</v>
      </c>
      <c r="I4" s="137">
        <f>MAX(F4,H4)</f>
        <v>0</v>
      </c>
      <c r="J4" s="138">
        <f>ROUNDUP(I4*209,-1)</f>
        <v>0</v>
      </c>
    </row>
    <row r="5" spans="1:11" ht="24.95" customHeight="1" thickBot="1">
      <c r="A5" s="139">
        <v>2</v>
      </c>
      <c r="B5" s="140" t="s">
        <v>96</v>
      </c>
      <c r="C5" s="141">
        <f>D9</f>
        <v>0</v>
      </c>
      <c r="D5" s="141">
        <v>0</v>
      </c>
      <c r="E5" s="142">
        <f>C5</f>
        <v>0</v>
      </c>
      <c r="F5" s="143">
        <f>E5/8</f>
        <v>0</v>
      </c>
      <c r="G5" s="144">
        <f>D10</f>
        <v>0</v>
      </c>
      <c r="H5" s="144">
        <f>ROUND(G5/87.745%,0)</f>
        <v>0</v>
      </c>
      <c r="I5" s="144">
        <f>MAX(F5,H5)</f>
        <v>0</v>
      </c>
      <c r="J5" s="145">
        <f>ROUNDUP(I5*209,-1)</f>
        <v>0</v>
      </c>
    </row>
    <row r="6" spans="1:11" ht="14.25" thickBot="1"/>
    <row r="7" spans="1:11" ht="22.5" customHeight="1">
      <c r="A7" s="340" t="s">
        <v>73</v>
      </c>
      <c r="B7" s="341"/>
      <c r="C7" s="341"/>
      <c r="D7" s="177" t="s">
        <v>74</v>
      </c>
      <c r="E7" s="341" t="s">
        <v>75</v>
      </c>
      <c r="F7" s="344"/>
    </row>
    <row r="8" spans="1:11" ht="22.5" customHeight="1">
      <c r="A8" s="342" t="s">
        <v>181</v>
      </c>
      <c r="B8" s="343"/>
      <c r="C8" s="343"/>
      <c r="D8" s="146"/>
      <c r="E8" s="343" t="s">
        <v>124</v>
      </c>
      <c r="F8" s="345"/>
    </row>
    <row r="9" spans="1:11" ht="22.5" customHeight="1">
      <c r="A9" s="342" t="s">
        <v>182</v>
      </c>
      <c r="B9" s="343"/>
      <c r="C9" s="343"/>
      <c r="D9" s="146"/>
      <c r="E9" s="343" t="s">
        <v>125</v>
      </c>
      <c r="F9" s="345"/>
    </row>
    <row r="10" spans="1:11" ht="22.5" customHeight="1" thickBot="1">
      <c r="A10" s="337" t="s">
        <v>76</v>
      </c>
      <c r="B10" s="338"/>
      <c r="C10" s="338"/>
      <c r="D10" s="147"/>
      <c r="E10" s="338"/>
      <c r="F10" s="346"/>
    </row>
    <row r="15" spans="1:11">
      <c r="D15" s="9"/>
    </row>
    <row r="16" spans="1:11">
      <c r="G16" s="167"/>
    </row>
  </sheetData>
  <mergeCells count="9">
    <mergeCell ref="A10:C10"/>
    <mergeCell ref="A1:K1"/>
    <mergeCell ref="A7:C7"/>
    <mergeCell ref="A8:C8"/>
    <mergeCell ref="A9:C9"/>
    <mergeCell ref="E7:F7"/>
    <mergeCell ref="E8:F8"/>
    <mergeCell ref="E9:F9"/>
    <mergeCell ref="E10:F10"/>
  </mergeCells>
  <phoneticPr fontId="2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원가계산 총괄표</vt:lpstr>
      <vt:lpstr>원가계산서</vt:lpstr>
      <vt:lpstr>설계내역서</vt:lpstr>
      <vt:lpstr>노무임별단가</vt:lpstr>
      <vt:lpstr>기본급 산출</vt:lpstr>
      <vt:lpstr>노무임별단가!Print_Area</vt:lpstr>
      <vt:lpstr>설계내역서!Print_Area</vt:lpstr>
      <vt:lpstr>'원가계산 총괄표'!Print_Area</vt:lpstr>
      <vt:lpstr>원가계산서!Print_Area</vt:lpstr>
      <vt:lpstr>설계내역서!Print_Titles</vt:lpstr>
      <vt:lpstr>원가계산서!Print_Titles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2022-07-01T00:38:53Z</cp:lastPrinted>
  <dcterms:created xsi:type="dcterms:W3CDTF">2010-11-24T06:29:57Z</dcterms:created>
  <dcterms:modified xsi:type="dcterms:W3CDTF">2022-07-05T06:43:30Z</dcterms:modified>
</cp:coreProperties>
</file>