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22\10.계    약\2.계약\1.입찰\6.과천시청소년수련관 셔틀버스 운행 용역\3.공고문\"/>
    </mc:Choice>
  </mc:AlternateContent>
  <bookViews>
    <workbookView xWindow="0" yWindow="0" windowWidth="28800" windowHeight="12255"/>
  </bookViews>
  <sheets>
    <sheet name="원가계산 총괄표" sheetId="9" r:id="rId1"/>
    <sheet name="원가계산서" sheetId="6" r:id="rId2"/>
    <sheet name="설계내역서" sheetId="2" r:id="rId3"/>
    <sheet name="노무임별단가" sheetId="3" r:id="rId4"/>
    <sheet name="기본급 산출" sheetId="10" r:id="rId5"/>
  </sheets>
  <definedNames>
    <definedName name="_xlnm.Print_Area" localSheetId="3">노무임별단가!$A$1:$I$7</definedName>
    <definedName name="_xlnm.Print_Area" localSheetId="2">설계내역서!$A$1:$J$30</definedName>
    <definedName name="_xlnm.Print_Area" localSheetId="0">'원가계산 총괄표'!$A$1:$E$28</definedName>
    <definedName name="_xlnm.Print_Area" localSheetId="1">원가계산서!$A$1:$I$27</definedName>
    <definedName name="_xlnm.Print_Titles" localSheetId="2">설계내역서!$A:$A</definedName>
    <definedName name="_xlnm.Print_Titles" localSheetId="1">원가계산서!$C:$C</definedName>
  </definedNames>
  <calcPr calcId="162913"/>
</workbook>
</file>

<file path=xl/calcChain.xml><?xml version="1.0" encoding="utf-8"?>
<calcChain xmlns="http://schemas.openxmlformats.org/spreadsheetml/2006/main">
  <c r="D16" i="6" l="1"/>
  <c r="E4" i="10" l="1"/>
  <c r="E20" i="9" l="1"/>
  <c r="E17" i="9" l="1"/>
  <c r="E18" i="9"/>
  <c r="E19" i="9"/>
  <c r="E5" i="9"/>
  <c r="E14" i="9"/>
  <c r="E13" i="9"/>
  <c r="E12" i="9"/>
  <c r="E11" i="9"/>
  <c r="E10" i="9"/>
  <c r="E9" i="9"/>
  <c r="E8" i="9"/>
  <c r="D5" i="3"/>
  <c r="H16" i="6" l="1"/>
  <c r="D17" i="9" s="1"/>
  <c r="I19" i="6"/>
  <c r="D14" i="6"/>
  <c r="H14" i="6" s="1"/>
  <c r="D15" i="9" s="1"/>
  <c r="F25" i="2"/>
  <c r="C15" i="2"/>
  <c r="C14" i="2" l="1"/>
  <c r="C16" i="2"/>
  <c r="I25" i="2" l="1"/>
  <c r="G5" i="10"/>
  <c r="H5" i="10" s="1"/>
  <c r="C5" i="10"/>
  <c r="E5" i="10" s="1"/>
  <c r="F5" i="10" s="1"/>
  <c r="F26" i="2"/>
  <c r="I26" i="2" s="1"/>
  <c r="F29" i="2"/>
  <c r="F27" i="2"/>
  <c r="C17" i="2"/>
  <c r="I27" i="2" l="1"/>
  <c r="I29" i="2"/>
  <c r="D20" i="9"/>
  <c r="I5" i="10"/>
  <c r="G4" i="10"/>
  <c r="H4" i="10" s="1"/>
  <c r="D4" i="10"/>
  <c r="C4" i="10"/>
  <c r="F4" i="10" l="1"/>
  <c r="I4" i="10" s="1"/>
  <c r="J5" i="10"/>
  <c r="F5" i="3" s="1"/>
  <c r="G5" i="3"/>
  <c r="J4" i="10" l="1"/>
  <c r="F4" i="3" s="1"/>
  <c r="E6" i="2" s="1"/>
  <c r="G4" i="3"/>
  <c r="G7" i="2"/>
  <c r="H7" i="2" s="1"/>
  <c r="H5" i="3"/>
  <c r="G8" i="2" s="1"/>
  <c r="H8" i="2" s="1"/>
  <c r="G6" i="2"/>
  <c r="H6" i="2" s="1"/>
  <c r="G15" i="2" l="1"/>
  <c r="G18" i="2"/>
  <c r="H18" i="2" s="1"/>
  <c r="G13" i="2"/>
  <c r="G14" i="2" s="1"/>
  <c r="H14" i="2" s="1"/>
  <c r="G16" i="2" s="1"/>
  <c r="H16" i="2" s="1"/>
  <c r="G19" i="2"/>
  <c r="H19" i="2" s="1"/>
  <c r="E7" i="2"/>
  <c r="H9" i="2"/>
  <c r="H15" i="2" l="1"/>
  <c r="G17" i="2"/>
  <c r="H17" i="2" s="1"/>
  <c r="F7" i="2"/>
  <c r="I7" i="2" l="1"/>
  <c r="D4" i="6" s="1"/>
  <c r="H4" i="6" s="1"/>
  <c r="E8" i="2"/>
  <c r="F8" i="2" l="1"/>
  <c r="I8" i="2" s="1"/>
  <c r="D5" i="6" s="1"/>
  <c r="D15" i="6"/>
  <c r="F6" i="2" l="1"/>
  <c r="E15" i="2" l="1"/>
  <c r="E19" i="2"/>
  <c r="F19" i="2" s="1"/>
  <c r="E18" i="2"/>
  <c r="E13" i="2"/>
  <c r="I6" i="2"/>
  <c r="D3" i="6" s="1"/>
  <c r="H18" i="6"/>
  <c r="H17" i="6"/>
  <c r="D18" i="9" s="1"/>
  <c r="F18" i="2" l="1"/>
  <c r="I18" i="2" s="1"/>
  <c r="D19" i="9"/>
  <c r="I19" i="2"/>
  <c r="C13" i="2" l="1"/>
  <c r="H13" i="2" s="1"/>
  <c r="H20" i="2" s="1"/>
  <c r="F28" i="2" l="1"/>
  <c r="I28" i="2" l="1"/>
  <c r="F30" i="2"/>
  <c r="H15" i="6"/>
  <c r="E5" i="6"/>
  <c r="H5" i="6" s="1"/>
  <c r="E3" i="6"/>
  <c r="H3" i="6" s="1"/>
  <c r="D19" i="6"/>
  <c r="E23" i="2"/>
  <c r="E11" i="2"/>
  <c r="H19" i="6" l="1"/>
  <c r="D16" i="9"/>
  <c r="D6" i="9" l="1"/>
  <c r="D13" i="6"/>
  <c r="H13" i="6" s="1"/>
  <c r="I30" i="2"/>
  <c r="D5" i="9"/>
  <c r="D4" i="9" l="1"/>
  <c r="D14" i="9"/>
  <c r="F13" i="2"/>
  <c r="I13" i="2" s="1"/>
  <c r="F9" i="2" l="1"/>
  <c r="I9" i="2" s="1"/>
  <c r="D7" i="6"/>
  <c r="H7" i="6" s="1"/>
  <c r="E17" i="2"/>
  <c r="F15" i="2"/>
  <c r="I15" i="2" s="1"/>
  <c r="D9" i="6" s="1"/>
  <c r="H9" i="6" s="1"/>
  <c r="E14" i="2"/>
  <c r="D12" i="6" l="1"/>
  <c r="D8" i="9"/>
  <c r="D10" i="9"/>
  <c r="F14" i="2"/>
  <c r="I14" i="2" s="1"/>
  <c r="D8" i="6" s="1"/>
  <c r="H8" i="6" s="1"/>
  <c r="F17" i="2"/>
  <c r="I17" i="2" s="1"/>
  <c r="H6" i="6"/>
  <c r="D7" i="9" s="1"/>
  <c r="H12" i="6" l="1"/>
  <c r="D13" i="9" s="1"/>
  <c r="D10" i="6"/>
  <c r="D9" i="9"/>
  <c r="E16" i="2"/>
  <c r="H10" i="6" l="1"/>
  <c r="F16" i="2"/>
  <c r="D11" i="9" l="1"/>
  <c r="F20" i="2"/>
  <c r="I20" i="2" s="1"/>
  <c r="I16" i="2"/>
  <c r="D11" i="6" s="1"/>
  <c r="H11" i="6" l="1"/>
  <c r="H20" i="6" s="1"/>
  <c r="F21" i="6" s="1"/>
  <c r="F22" i="6" s="1"/>
  <c r="D12" i="9" l="1"/>
  <c r="F23" i="6"/>
  <c r="F24" i="6" s="1"/>
  <c r="D21" i="9"/>
  <c r="D22" i="9"/>
  <c r="D25" i="9" l="1"/>
  <c r="F25" i="6"/>
  <c r="D26" i="9" s="1"/>
  <c r="D23" i="9"/>
  <c r="D24" i="9"/>
  <c r="D27" i="9" l="1"/>
  <c r="D28" i="9" s="1"/>
  <c r="F26" i="6"/>
  <c r="F27" i="6" l="1"/>
</calcChain>
</file>

<file path=xl/comments1.xml><?xml version="1.0" encoding="utf-8"?>
<comments xmlns="http://schemas.openxmlformats.org/spreadsheetml/2006/main">
  <authors>
    <author>user</author>
  </authors>
  <commentList>
    <comment ref="H3" authorId="0" shapeId="0">
      <text>
        <r>
          <rPr>
            <b/>
            <sz val="11"/>
            <color indexed="81"/>
            <rFont val="맑은 고딕"/>
            <family val="3"/>
            <charset val="129"/>
            <scheme val="minor"/>
          </rPr>
          <t>계산식: (((40시간+8시간)/7일)*365일)/12월
=209시간</t>
        </r>
      </text>
    </comment>
  </commentList>
</comments>
</file>

<file path=xl/sharedStrings.xml><?xml version="1.0" encoding="utf-8"?>
<sst xmlns="http://schemas.openxmlformats.org/spreadsheetml/2006/main" count="265" uniqueCount="200">
  <si>
    <t>임금채권보장보험</t>
    <phoneticPr fontId="2" type="noConversion"/>
  </si>
  <si>
    <t>순번</t>
    <phoneticPr fontId="2" type="noConversion"/>
  </si>
  <si>
    <t>비                    고</t>
    <phoneticPr fontId="2" type="noConversion"/>
  </si>
  <si>
    <t>단위</t>
    <phoneticPr fontId="2" type="noConversion"/>
  </si>
  <si>
    <t>[인   건   비]</t>
    <phoneticPr fontId="2" type="noConversion"/>
  </si>
  <si>
    <t>구           분</t>
    <phoneticPr fontId="2" type="noConversion"/>
  </si>
  <si>
    <t>산      출      근      거</t>
    <phoneticPr fontId="2" type="noConversion"/>
  </si>
  <si>
    <t>월/인당</t>
    <phoneticPr fontId="2" type="noConversion"/>
  </si>
  <si>
    <t>단  가</t>
    <phoneticPr fontId="2" type="noConversion"/>
  </si>
  <si>
    <t>금    액</t>
    <phoneticPr fontId="2" type="noConversion"/>
  </si>
  <si>
    <t>월</t>
    <phoneticPr fontId="2" type="noConversion"/>
  </si>
  <si>
    <t>hr</t>
    <phoneticPr fontId="2" type="noConversion"/>
  </si>
  <si>
    <t>일</t>
    <phoneticPr fontId="2" type="noConversion"/>
  </si>
  <si>
    <t>구                 분</t>
    <phoneticPr fontId="2" type="noConversion"/>
  </si>
  <si>
    <t>노인장기요양보험</t>
    <phoneticPr fontId="2" type="noConversion"/>
  </si>
  <si>
    <t>구             분</t>
    <phoneticPr fontId="2" type="noConversion"/>
  </si>
  <si>
    <t>단   가</t>
    <phoneticPr fontId="2" type="noConversion"/>
  </si>
  <si>
    <t>[경        비]</t>
    <phoneticPr fontId="2" type="noConversion"/>
  </si>
  <si>
    <t>수   량</t>
    <phoneticPr fontId="2" type="noConversion"/>
  </si>
  <si>
    <t>소계</t>
    <phoneticPr fontId="2" type="noConversion"/>
  </si>
  <si>
    <t>운전원</t>
    <phoneticPr fontId="2" type="noConversion"/>
  </si>
  <si>
    <t>대형운전면허소지자</t>
    <phoneticPr fontId="2" type="noConversion"/>
  </si>
  <si>
    <t>식</t>
    <phoneticPr fontId="2" type="noConversion"/>
  </si>
  <si>
    <t>대</t>
    <phoneticPr fontId="2" type="noConversion"/>
  </si>
  <si>
    <t>1) 기    본     급</t>
    <phoneticPr fontId="2" type="noConversion"/>
  </si>
  <si>
    <t>수량</t>
    <phoneticPr fontId="2" type="noConversion"/>
  </si>
  <si>
    <t xml:space="preserve"> ① + ②</t>
    <phoneticPr fontId="2" type="noConversion"/>
  </si>
  <si>
    <t xml:space="preserve"> ③ 의 5% 이내</t>
    <phoneticPr fontId="2" type="noConversion"/>
  </si>
  <si>
    <t xml:space="preserve"> ⑦ 의 10%</t>
    <phoneticPr fontId="2" type="noConversion"/>
  </si>
  <si>
    <t xml:space="preserve"> ⑦ + ⑧</t>
    <phoneticPr fontId="2" type="noConversion"/>
  </si>
  <si>
    <t xml:space="preserve"> ③ + ④</t>
    <phoneticPr fontId="2" type="noConversion"/>
  </si>
  <si>
    <t>제
세
공
과
금</t>
    <phoneticPr fontId="2" type="noConversion"/>
  </si>
  <si>
    <t xml:space="preserve"> (⑤ - 재료비)의 10% 이내</t>
    <phoneticPr fontId="2" type="noConversion"/>
  </si>
  <si>
    <t>재
료
비</t>
    <phoneticPr fontId="2" type="noConversion"/>
  </si>
  <si>
    <t>③ 순        원          가</t>
    <phoneticPr fontId="2" type="noConversion"/>
  </si>
  <si>
    <t>④ 일   반   관   리   비</t>
    <phoneticPr fontId="2" type="noConversion"/>
  </si>
  <si>
    <t>⑤ 일반관리비 합산원가</t>
    <phoneticPr fontId="2" type="noConversion"/>
  </si>
  <si>
    <t>⑥ 이                     윤</t>
    <phoneticPr fontId="2" type="noConversion"/>
  </si>
  <si>
    <t>⑦ 이 윤  합  산   원 가</t>
    <phoneticPr fontId="2" type="noConversion"/>
  </si>
  <si>
    <t>⑧ 부   가   가   치   세</t>
    <phoneticPr fontId="2" type="noConversion"/>
  </si>
  <si>
    <t>총      용      역     비</t>
    <phoneticPr fontId="2" type="noConversion"/>
  </si>
  <si>
    <t>소     계</t>
    <phoneticPr fontId="2" type="noConversion"/>
  </si>
  <si>
    <t>-</t>
    <phoneticPr fontId="2" type="noConversion"/>
  </si>
  <si>
    <t>②
경
비</t>
    <phoneticPr fontId="2" type="noConversion"/>
  </si>
  <si>
    <t>기    본     급</t>
    <phoneticPr fontId="2" type="noConversion"/>
  </si>
  <si>
    <t>연장근로수당</t>
    <phoneticPr fontId="2" type="noConversion"/>
  </si>
  <si>
    <t>국   민    연    금</t>
    <phoneticPr fontId="2" type="noConversion"/>
  </si>
  <si>
    <t>건  강  보  험  료</t>
    <phoneticPr fontId="2" type="noConversion"/>
  </si>
  <si>
    <t>산  재  보  험  료</t>
    <phoneticPr fontId="2" type="noConversion"/>
  </si>
  <si>
    <t>고  용  보  험  료</t>
    <phoneticPr fontId="2" type="noConversion"/>
  </si>
  <si>
    <t>엔  진  오  일</t>
    <phoneticPr fontId="2" type="noConversion"/>
  </si>
  <si>
    <t>단위</t>
    <phoneticPr fontId="2" type="noConversion"/>
  </si>
  <si>
    <t>월</t>
    <phoneticPr fontId="2" type="noConversion"/>
  </si>
  <si>
    <t>구     분</t>
    <phoneticPr fontId="2" type="noConversion"/>
  </si>
  <si>
    <t>비    고</t>
    <phoneticPr fontId="2" type="noConversion"/>
  </si>
  <si>
    <t>감  가  상  각  비</t>
    <phoneticPr fontId="2" type="noConversion"/>
  </si>
  <si>
    <t>제
세
공
과
금</t>
    <phoneticPr fontId="2" type="noConversion"/>
  </si>
  <si>
    <t>대</t>
    <phoneticPr fontId="2" type="noConversion"/>
  </si>
  <si>
    <t>소계</t>
    <phoneticPr fontId="2" type="noConversion"/>
  </si>
  <si>
    <t>엔진오일</t>
    <phoneticPr fontId="2" type="noConversion"/>
  </si>
  <si>
    <t>시급 x 1.5×연장시간</t>
    <phoneticPr fontId="2" type="noConversion"/>
  </si>
  <si>
    <t>일</t>
    <phoneticPr fontId="2" type="noConversion"/>
  </si>
  <si>
    <t>월</t>
    <phoneticPr fontId="2" type="noConversion"/>
  </si>
  <si>
    <t>석면피해구제분담금</t>
    <phoneticPr fontId="2" type="noConversion"/>
  </si>
  <si>
    <t>월</t>
    <phoneticPr fontId="2" type="noConversion"/>
  </si>
  <si>
    <t>월</t>
    <phoneticPr fontId="2" type="noConversion"/>
  </si>
  <si>
    <t>월</t>
    <phoneticPr fontId="2" type="noConversion"/>
  </si>
  <si>
    <t>산업재해보상보험법(운수관련 서비스업)</t>
    <phoneticPr fontId="2" type="noConversion"/>
  </si>
  <si>
    <t>국민연금법 제88조</t>
    <phoneticPr fontId="2" type="noConversion"/>
  </si>
  <si>
    <t>노인장기요양보험법 제9조</t>
    <phoneticPr fontId="2" type="noConversion"/>
  </si>
  <si>
    <t>임금채권보장보험법 제9조</t>
    <phoneticPr fontId="2" type="noConversion"/>
  </si>
  <si>
    <t>운   전   원</t>
    <phoneticPr fontId="2" type="noConversion"/>
  </si>
  <si>
    <t>자동차세</t>
    <phoneticPr fontId="2" type="noConversion"/>
  </si>
  <si>
    <t>대</t>
    <phoneticPr fontId="2" type="noConversion"/>
  </si>
  <si>
    <t>차량검사료</t>
    <phoneticPr fontId="2" type="noConversion"/>
  </si>
  <si>
    <t>2) 연장근로수당</t>
    <phoneticPr fontId="2" type="noConversion"/>
  </si>
  <si>
    <t xml:space="preserve">1월-21,5
2월-21,4
3월-23,4
4월-21,5
5월-22,4
6월-22,4
7월-21,5
8월-23,4
9월-22,4
10월-21,5
11월-22,4
12월-22,5
</t>
    <phoneticPr fontId="2" type="noConversion"/>
  </si>
  <si>
    <t>평일 261hr
토요일 53hr</t>
    <phoneticPr fontId="2" type="noConversion"/>
  </si>
  <si>
    <t>7) 석면피해구제분담금</t>
    <phoneticPr fontId="2" type="noConversion"/>
  </si>
  <si>
    <t>고용보험법 제6조(실업급여-0.8%, 직업능력개발사업(150인 미만 기업)-0.25%)</t>
    <phoneticPr fontId="2" type="noConversion"/>
  </si>
  <si>
    <t>국민건강보험법 제69,73조</t>
    <phoneticPr fontId="2" type="noConversion"/>
  </si>
  <si>
    <t>입력내용 구분</t>
  </si>
  <si>
    <t>입력값</t>
  </si>
  <si>
    <t>비고</t>
  </si>
  <si>
    <t>해당년도 최저임금</t>
  </si>
  <si>
    <t>구분</t>
  </si>
  <si>
    <t>시중노임단가 기준 1</t>
  </si>
  <si>
    <t>시중노임단가 기준 2</t>
  </si>
  <si>
    <t>시중노임단가 1일 임금</t>
  </si>
  <si>
    <t>시중노임단가 1시간 시급</t>
  </si>
  <si>
    <t>해당년도 최저임금(시급)</t>
  </si>
  <si>
    <t>낙찰율 적용 최저시급</t>
  </si>
  <si>
    <t>결정시급</t>
  </si>
  <si>
    <t>기본급(209시간)</t>
  </si>
  <si>
    <t>운전원</t>
    <phoneticPr fontId="2" type="noConversion"/>
  </si>
  <si>
    <t>기술자격 및 경력기준</t>
    <phoneticPr fontId="2" type="noConversion"/>
  </si>
  <si>
    <t>기본급</t>
    <phoneticPr fontId="2" type="noConversion"/>
  </si>
  <si>
    <t>시간당 단가
(기본급/209시간)</t>
    <phoneticPr fontId="2" type="noConversion"/>
  </si>
  <si>
    <t>건  강  보  험  료</t>
    <phoneticPr fontId="2" type="noConversion"/>
  </si>
  <si>
    <t>월</t>
    <phoneticPr fontId="2" type="noConversion"/>
  </si>
  <si>
    <t>산  재  보  험  료</t>
    <phoneticPr fontId="2" type="noConversion"/>
  </si>
  <si>
    <t>고  용  보  험  료</t>
    <phoneticPr fontId="2" type="noConversion"/>
  </si>
  <si>
    <t>노인장기요양보험</t>
    <phoneticPr fontId="2" type="noConversion"/>
  </si>
  <si>
    <t>자격 제한 없음</t>
    <phoneticPr fontId="2" type="noConversion"/>
  </si>
  <si>
    <t>단가</t>
    <phoneticPr fontId="2" type="noConversion"/>
  </si>
  <si>
    <t>금액</t>
    <phoneticPr fontId="2" type="noConversion"/>
  </si>
  <si>
    <t>탑승 보호자</t>
    <phoneticPr fontId="2" type="noConversion"/>
  </si>
  <si>
    <t>합계</t>
    <phoneticPr fontId="2" type="noConversion"/>
  </si>
  <si>
    <t>⑥ 이                   윤</t>
    <phoneticPr fontId="2" type="noConversion"/>
  </si>
  <si>
    <t>재
료
비</t>
    <phoneticPr fontId="2" type="noConversion"/>
  </si>
  <si>
    <t xml:space="preserve"> ⑤ + ⑥</t>
    <phoneticPr fontId="2" type="noConversion"/>
  </si>
  <si>
    <t>2022년도 외부특수차운전원 시중노임단가</t>
    <phoneticPr fontId="2" type="noConversion"/>
  </si>
  <si>
    <t>2022년도 단순노무종사원 시중노임단가</t>
    <phoneticPr fontId="2" type="noConversion"/>
  </si>
  <si>
    <t>2022년 시중노임단가 단순노무종사의 평균값
(단순노무종사원 82,001원) = 82,001원</t>
    <phoneticPr fontId="2" type="noConversion"/>
  </si>
  <si>
    <t>동승 보호자</t>
    <phoneticPr fontId="2" type="noConversion"/>
  </si>
  <si>
    <t>연간보험료×6개월/12개월</t>
    <phoneticPr fontId="2" type="noConversion"/>
  </si>
  <si>
    <t xml:space="preserve">월유류비 </t>
    <phoneticPr fontId="2" type="noConversion"/>
  </si>
  <si>
    <t>[경       비]</t>
    <phoneticPr fontId="2" type="noConversion"/>
  </si>
  <si>
    <t>건강보험료 x (12.27/100)</t>
    <phoneticPr fontId="2" type="noConversion"/>
  </si>
  <si>
    <t>대</t>
  </si>
  <si>
    <t>4) 노인장기요양보험</t>
    <phoneticPr fontId="2" type="noConversion"/>
  </si>
  <si>
    <t>5) 고  용  보  험  료</t>
    <phoneticPr fontId="2" type="noConversion"/>
  </si>
  <si>
    <t>6) 임금채권보장보험</t>
    <phoneticPr fontId="2" type="noConversion"/>
  </si>
  <si>
    <t xml:space="preserve"> </t>
    <phoneticPr fontId="2" type="noConversion"/>
  </si>
  <si>
    <t>1) 국   민    연    금</t>
    <phoneticPr fontId="2" type="noConversion"/>
  </si>
  <si>
    <t>2) 건  강  보  험  료</t>
    <phoneticPr fontId="2" type="noConversion"/>
  </si>
  <si>
    <t>3) 산  재  보  험  료</t>
    <phoneticPr fontId="2" type="noConversion"/>
  </si>
  <si>
    <t>6(월)/12(월) × 연자동차세</t>
    <phoneticPr fontId="2" type="noConversion"/>
  </si>
  <si>
    <t>6(월)/12(월) × 연검사료</t>
    <phoneticPr fontId="2" type="noConversion"/>
  </si>
  <si>
    <t>유        류       비</t>
    <phoneticPr fontId="2" type="noConversion"/>
  </si>
  <si>
    <t>대</t>
    <phoneticPr fontId="2" type="noConversion"/>
  </si>
  <si>
    <t>6</t>
    <phoneticPr fontId="2" type="noConversion"/>
  </si>
  <si>
    <t>주당운행거리=(9.5km×8회×5일)+(9.5km×7회)=446.5km  
월운행거리=4.345주×446.5km=1,940km  
유류비 =1,940km÷연비(5km/리터)×2,000원(2022년 리터당 단가)=776,000원</t>
    <phoneticPr fontId="2" type="noConversion"/>
  </si>
  <si>
    <t>주당운행거리=(9.5km×8회×5일)+(9.5km×7회)=446.5km  
월운행거리=4.345주×446.5km=1,940km  
유류비 =1,940km÷연비(5km/리터)×2,000원(2022년 리터당 단가)=776,000원</t>
    <phoneticPr fontId="2" type="noConversion"/>
  </si>
  <si>
    <t>연  차  수  당</t>
    <phoneticPr fontId="2" type="noConversion"/>
  </si>
  <si>
    <t>차  량  보  험  료</t>
  </si>
  <si>
    <t>차량보험료</t>
    <phoneticPr fontId="2" type="noConversion"/>
  </si>
  <si>
    <t>6(월)/12(월) × 현대뉴카운티 25인승
35세이상 운전자 기준 보험료(1년)</t>
    <phoneticPr fontId="2" type="noConversion"/>
  </si>
  <si>
    <t>(기본급+제수당) x (10.5/1000)</t>
    <phoneticPr fontId="2" type="noConversion"/>
  </si>
  <si>
    <t>(기본급+제수당) x (9/1000)</t>
    <phoneticPr fontId="2" type="noConversion"/>
  </si>
  <si>
    <t>(기본급+제수당) x (34.95/1000)</t>
    <phoneticPr fontId="2" type="noConversion"/>
  </si>
  <si>
    <t>(기본급+제수당) x (45/1000)</t>
    <phoneticPr fontId="2" type="noConversion"/>
  </si>
  <si>
    <t>(기본급+제수당) x (0.6/1000)</t>
    <phoneticPr fontId="2" type="noConversion"/>
  </si>
  <si>
    <t>(기본급+제수당) x (0.03/1000)</t>
    <phoneticPr fontId="2" type="noConversion"/>
  </si>
  <si>
    <t>복
리
후
생
비</t>
    <phoneticPr fontId="2" type="noConversion"/>
  </si>
  <si>
    <t>4)  재     료    비</t>
    <phoneticPr fontId="2" type="noConversion"/>
  </si>
  <si>
    <t xml:space="preserve">  가) 엔진오일</t>
    <phoneticPr fontId="2" type="noConversion"/>
  </si>
  <si>
    <t>②
경
비</t>
    <phoneticPr fontId="2" type="noConversion"/>
  </si>
  <si>
    <t>금   액(원)</t>
    <phoneticPr fontId="2" type="noConversion"/>
  </si>
  <si>
    <t>①
인
건
비</t>
    <phoneticPr fontId="2" type="noConversion"/>
  </si>
  <si>
    <t xml:space="preserve">복
리
후
생
비
</t>
    <phoneticPr fontId="2" type="noConversion"/>
  </si>
  <si>
    <t>유       류      비</t>
    <phoneticPr fontId="2" type="noConversion"/>
  </si>
  <si>
    <t xml:space="preserve"> ⑦ + ⑧(만원미만 절사)</t>
    <phoneticPr fontId="2" type="noConversion"/>
  </si>
  <si>
    <t>3) 연  차  수  당</t>
    <phoneticPr fontId="2" type="noConversion"/>
  </si>
  <si>
    <t>동  승
보호자</t>
    <phoneticPr fontId="2" type="noConversion"/>
  </si>
  <si>
    <t>6개월분</t>
    <phoneticPr fontId="2" type="noConversion"/>
  </si>
  <si>
    <t>비  고</t>
    <phoneticPr fontId="2" type="noConversion"/>
  </si>
  <si>
    <t>일  급</t>
    <phoneticPr fontId="2" type="noConversion"/>
  </si>
  <si>
    <t>석면피해구제법 제31조 10만분의 3</t>
    <phoneticPr fontId="2" type="noConversion"/>
  </si>
  <si>
    <t>직종코드 126</t>
    <phoneticPr fontId="2" type="noConversion"/>
  </si>
  <si>
    <t>직종코드 127</t>
    <phoneticPr fontId="2" type="noConversion"/>
  </si>
  <si>
    <t>직종</t>
    <phoneticPr fontId="2" type="noConversion"/>
  </si>
  <si>
    <t>(단위 :원)</t>
    <phoneticPr fontId="2" type="noConversion"/>
  </si>
  <si>
    <t>(단위: 원)</t>
    <phoneticPr fontId="2" type="noConversion"/>
  </si>
  <si>
    <t>구분</t>
    <phoneticPr fontId="2" type="noConversion"/>
  </si>
  <si>
    <t>합계금액(원)</t>
    <phoneticPr fontId="2" type="noConversion"/>
  </si>
  <si>
    <t>용역인원: 2명
용역기간: 7월~12월(6개월)</t>
    <phoneticPr fontId="2" type="noConversion"/>
  </si>
  <si>
    <t>산출금액(원)</t>
    <phoneticPr fontId="2" type="noConversion"/>
  </si>
  <si>
    <t>(기본급+제수당) x (45/1000) × 6(월) × 1조(2명)</t>
    <phoneticPr fontId="2" type="noConversion"/>
  </si>
  <si>
    <t>(기본급+제수당) x (33.30/1000) × 6(월) × 1조(2명)</t>
    <phoneticPr fontId="2" type="noConversion"/>
  </si>
  <si>
    <t>(기본급+제수당) x (9.3/1000) × 6(월) × 1조(2명)</t>
    <phoneticPr fontId="2" type="noConversion"/>
  </si>
  <si>
    <t>(기본급+제수당) x (10.5/1000) × 6(월) × 1조(2명)</t>
    <phoneticPr fontId="2" type="noConversion"/>
  </si>
  <si>
    <t>건강보험료 x (10.25/100) × 6(월) × 1조(2명)</t>
    <phoneticPr fontId="2" type="noConversion"/>
  </si>
  <si>
    <t>(기본급+제수당) x (0.6/1000) × 6(월) × 1조(2명)</t>
    <phoneticPr fontId="2" type="noConversion"/>
  </si>
  <si>
    <t>(기본급+제수당) x (0.03/1000) × 6(월) × 1조(2명)</t>
    <phoneticPr fontId="2" type="noConversion"/>
  </si>
  <si>
    <r>
      <t>월유류비 776,000원</t>
    </r>
    <r>
      <rPr>
        <sz val="9"/>
        <rFont val="맑은 고딕"/>
        <family val="3"/>
        <charset val="129"/>
      </rPr>
      <t>Ⅹ6개월</t>
    </r>
    <phoneticPr fontId="2" type="noConversion"/>
  </si>
  <si>
    <t>차  량  검  사  료</t>
    <phoneticPr fontId="2" type="noConversion"/>
  </si>
  <si>
    <t>자   동   차    세</t>
    <phoneticPr fontId="2" type="noConversion"/>
  </si>
  <si>
    <t>엔   진   오   일</t>
    <phoneticPr fontId="2" type="noConversion"/>
  </si>
  <si>
    <t>용역인원: 2명, 용역기간: 6개월(7월~12월)</t>
    <phoneticPr fontId="2" type="noConversion"/>
  </si>
  <si>
    <t>직종별 기본급 산출</t>
    <phoneticPr fontId="2" type="noConversion"/>
  </si>
  <si>
    <t>일급 x 5일/6월</t>
    <phoneticPr fontId="2" type="noConversion"/>
  </si>
  <si>
    <t>익월부터 1일씩 5일</t>
    <phoneticPr fontId="2" type="noConversion"/>
  </si>
  <si>
    <t>1) 차 량 유 류 비</t>
    <phoneticPr fontId="2" type="noConversion"/>
  </si>
  <si>
    <t>2) 감 가 상 각 비</t>
    <phoneticPr fontId="2" type="noConversion"/>
  </si>
  <si>
    <t>3) 차 량 보 험 료</t>
    <phoneticPr fontId="2" type="noConversion"/>
  </si>
  <si>
    <t>내구년한 9년(2017년 현대뉴카운티 78,000천원)</t>
    <phoneticPr fontId="2" type="noConversion"/>
  </si>
  <si>
    <t>내구연한 9년(정률법에 의한 분개)-현대뉴카운티 2017년식 출고가 78,000천원 기준</t>
    <phoneticPr fontId="2" type="noConversion"/>
  </si>
  <si>
    <t>정률법, 내구연한 9년 2017년 현대카운티 78,000원 기준</t>
    <phoneticPr fontId="2" type="noConversion"/>
  </si>
  <si>
    <r>
      <t xml:space="preserve">- 차량운영시간
</t>
    </r>
    <r>
      <rPr>
        <b/>
        <sz val="9"/>
        <rFont val="맑은 고딕"/>
        <family val="3"/>
        <charset val="129"/>
        <scheme val="minor"/>
      </rPr>
      <t>1) 일반운영</t>
    </r>
    <r>
      <rPr>
        <sz val="9"/>
        <rFont val="맑은 고딕"/>
        <family val="3"/>
        <charset val="129"/>
        <scheme val="minor"/>
      </rPr>
      <t xml:space="preserve">
   *운영기간: 2022년 7월 ~ 12월
    (월~금 13:00~21:00(7hr) / 토 09:00~17:00(5hr+초과2hr)
    -&gt; 일반운영 1주간: </t>
    </r>
    <r>
      <rPr>
        <sz val="9"/>
        <color rgb="FF0000FF"/>
        <rFont val="맑은 고딕"/>
        <family val="3"/>
        <charset val="129"/>
        <scheme val="minor"/>
      </rPr>
      <t>정규근무시간 40hr + 초과근무시간 2hr</t>
    </r>
    <r>
      <rPr>
        <sz val="9"/>
        <rFont val="맑은 고딕"/>
        <family val="3"/>
        <charset val="129"/>
        <scheme val="minor"/>
      </rPr>
      <t xml:space="preserve">
</t>
    </r>
    <r>
      <rPr>
        <b/>
        <sz val="9"/>
        <rFont val="맑은 고딕"/>
        <family val="3"/>
        <charset val="129"/>
        <scheme val="minor"/>
      </rPr>
      <t>2) 계량적 기간환산</t>
    </r>
    <r>
      <rPr>
        <sz val="9"/>
        <rFont val="맑은 고딕"/>
        <family val="3"/>
        <charset val="129"/>
        <scheme val="minor"/>
      </rPr>
      <t xml:space="preserve">
   * 1년을 12개월, 365일로 정했을 때, 1년은 52.14주, 1개월은 4.345주로 환산함
</t>
    </r>
    <r>
      <rPr>
        <b/>
        <sz val="9"/>
        <rFont val="맑은 고딕"/>
        <family val="3"/>
        <charset val="129"/>
        <scheme val="minor"/>
      </rPr>
      <t>3) 총 초과근무시간 산출</t>
    </r>
    <r>
      <rPr>
        <sz val="9"/>
        <rFont val="맑은 고딕"/>
        <family val="3"/>
        <charset val="129"/>
        <scheme val="minor"/>
      </rPr>
      <t xml:space="preserve">
   * 운영기간: 4.345주*6개월=26.07주*2시간=52.14시간
</t>
    </r>
    <r>
      <rPr>
        <b/>
        <sz val="9"/>
        <rFont val="맑은 고딕"/>
        <family val="3"/>
        <charset val="129"/>
        <scheme val="minor"/>
      </rPr>
      <t>4) 월간 초과근무시간</t>
    </r>
    <r>
      <rPr>
        <sz val="9"/>
        <rFont val="맑은 고딕"/>
        <family val="3"/>
        <charset val="129"/>
        <scheme val="minor"/>
      </rPr>
      <t>: 52.14hr/6개월=</t>
    </r>
    <r>
      <rPr>
        <sz val="9"/>
        <color rgb="FF0000FF"/>
        <rFont val="맑은 고딕"/>
        <family val="3"/>
        <charset val="129"/>
        <scheme val="minor"/>
      </rPr>
      <t>8.69hr</t>
    </r>
    <phoneticPr fontId="2" type="noConversion"/>
  </si>
  <si>
    <r>
      <t>2022년 시중노임단가
외부특수차운전원과 단순노무종사의 평균값
(특수차운전원 104,645원</t>
    </r>
    <r>
      <rPr>
        <sz val="12"/>
        <color theme="1"/>
        <rFont val="맑은 고딕"/>
        <family val="3"/>
        <charset val="129"/>
      </rPr>
      <t>Ⅹ0.8)</t>
    </r>
    <r>
      <rPr>
        <sz val="12"/>
        <color theme="1"/>
        <rFont val="맑은 고딕"/>
        <family val="3"/>
        <charset val="129"/>
        <scheme val="minor"/>
      </rPr>
      <t>+(단순노무종사원 82,001원Ⅹ0.2)  = 100,116</t>
    </r>
    <phoneticPr fontId="2" type="noConversion"/>
  </si>
  <si>
    <t xml:space="preserve"> ③ 의 6% 이내</t>
    <phoneticPr fontId="2" type="noConversion"/>
  </si>
  <si>
    <t xml:space="preserve"> 1,940㎞/월 × 6월 = 11,640㎞ 
 11,640km÷ 6,000㎞/회 =1.94회</t>
    <phoneticPr fontId="2" type="noConversion"/>
  </si>
  <si>
    <t>230,000원×1.94회</t>
    <phoneticPr fontId="2" type="noConversion"/>
  </si>
  <si>
    <t xml:space="preserve">보험료 1,970,000   현대뉴카운티 25인승 2017년형 35세이상 운전자 기준 </t>
    <phoneticPr fontId="2" type="noConversion"/>
  </si>
  <si>
    <t>2022년 셔틀버스운행 용역 설계내역서</t>
    <phoneticPr fontId="2" type="noConversion"/>
  </si>
  <si>
    <t>셔틀버스운행 용역 노무임별 단가(용역2명, 6개월)</t>
    <phoneticPr fontId="2" type="noConversion"/>
  </si>
  <si>
    <t>청소년수련관 셔틀버스운행 용역 원가계산서</t>
    <phoneticPr fontId="2" type="noConversion"/>
  </si>
  <si>
    <t>2022년 청소년수련관 셔틀버스운행 용역 원가계산 총괄표</t>
    <phoneticPr fontId="2" type="noConversion"/>
  </si>
  <si>
    <r>
      <t>일급</t>
    </r>
    <r>
      <rPr>
        <sz val="9"/>
        <rFont val="맑은 고딕"/>
        <family val="3"/>
        <charset val="129"/>
      </rPr>
      <t>Ⅹ</t>
    </r>
    <r>
      <rPr>
        <sz val="9"/>
        <color theme="1"/>
        <rFont val="맑은 고딕"/>
        <family val="3"/>
        <charset val="129"/>
      </rPr>
      <t>0.83일</t>
    </r>
    <r>
      <rPr>
        <sz val="9"/>
        <rFont val="맑은 고딕"/>
        <family val="3"/>
        <charset val="129"/>
      </rPr>
      <t>Ⅹ6개월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</si>
</sst>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_-* #,##0.0000_-;\-* #,##0.0000_-;_-* &quot;-&quot;_-;_-@_-"/>
    <numFmt numFmtId="177" formatCode="#,##0_ "/>
    <numFmt numFmtId="178" formatCode="#,##0_);[Red]\(#,##0\)"/>
    <numFmt numFmtId="179" formatCode="[$₩-412]#,##0_);[Red]\([$₩-412]#,##0\)"/>
    <numFmt numFmtId="180" formatCode="0_);[Red]\(0\)"/>
    <numFmt numFmtId="181" formatCode="0.0_);[Red]\(0.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돋움"/>
      <family val="3"/>
      <charset val="129"/>
    </font>
    <font>
      <sz val="11"/>
      <color rgb="FF0000FF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rgb="FF0000FF"/>
      <name val="맑은 고딕"/>
      <family val="3"/>
      <charset val="129"/>
      <scheme val="major"/>
    </font>
    <font>
      <b/>
      <sz val="26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indexed="8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name val="맑은 고딕"/>
      <family val="3"/>
      <charset val="129"/>
    </font>
    <font>
      <sz val="12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8">
    <xf numFmtId="0" fontId="0" fillId="0" borderId="0" xfId="0">
      <alignment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8" fillId="0" borderId="50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/>
    </xf>
    <xf numFmtId="41" fontId="14" fillId="0" borderId="53" xfId="0" applyNumberFormat="1" applyFont="1" applyBorder="1">
      <alignment vertical="center"/>
    </xf>
    <xf numFmtId="41" fontId="14" fillId="0" borderId="43" xfId="0" applyNumberFormat="1" applyFont="1" applyBorder="1">
      <alignment vertical="center"/>
    </xf>
    <xf numFmtId="41" fontId="14" fillId="0" borderId="51" xfId="0" applyNumberFormat="1" applyFont="1" applyBorder="1">
      <alignment vertical="center"/>
    </xf>
    <xf numFmtId="0" fontId="18" fillId="0" borderId="5" xfId="0" applyFont="1" applyBorder="1" applyAlignment="1">
      <alignment vertical="center"/>
    </xf>
    <xf numFmtId="0" fontId="18" fillId="2" borderId="5" xfId="0" quotePrefix="1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NumberFormat="1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18" fillId="2" borderId="5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41" fontId="14" fillId="0" borderId="0" xfId="0" applyNumberFormat="1" applyFont="1">
      <alignment vertical="center"/>
    </xf>
    <xf numFmtId="0" fontId="18" fillId="0" borderId="59" xfId="0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8" fillId="0" borderId="60" xfId="0" applyFont="1" applyBorder="1" applyAlignment="1">
      <alignment horizontal="left" vertical="center"/>
    </xf>
    <xf numFmtId="41" fontId="14" fillId="0" borderId="42" xfId="0" applyNumberFormat="1" applyFont="1" applyBorder="1">
      <alignment vertical="center"/>
    </xf>
    <xf numFmtId="41" fontId="14" fillId="0" borderId="41" xfId="1" applyFont="1" applyBorder="1" applyAlignment="1">
      <alignment horizontal="center" vertical="center"/>
    </xf>
    <xf numFmtId="0" fontId="14" fillId="0" borderId="41" xfId="1" applyNumberFormat="1" applyFont="1" applyBorder="1" applyAlignment="1">
      <alignment horizontal="center" vertical="center"/>
    </xf>
    <xf numFmtId="180" fontId="14" fillId="0" borderId="41" xfId="1" applyNumberFormat="1" applyFont="1" applyBorder="1" applyAlignment="1">
      <alignment horizontal="center" vertical="center"/>
    </xf>
    <xf numFmtId="41" fontId="14" fillId="0" borderId="41" xfId="1" applyFont="1" applyFill="1" applyBorder="1" applyAlignment="1">
      <alignment horizontal="center" vertical="center"/>
    </xf>
    <xf numFmtId="0" fontId="14" fillId="0" borderId="50" xfId="0" applyFont="1" applyBorder="1" applyAlignment="1">
      <alignment horizontal="left" vertical="center" wrapText="1"/>
    </xf>
    <xf numFmtId="41" fontId="14" fillId="0" borderId="38" xfId="1" applyFont="1" applyBorder="1">
      <alignment vertical="center"/>
    </xf>
    <xf numFmtId="0" fontId="14" fillId="0" borderId="38" xfId="1" applyNumberFormat="1" applyFont="1" applyBorder="1" applyAlignment="1">
      <alignment horizontal="center" vertical="center" wrapText="1"/>
    </xf>
    <xf numFmtId="41" fontId="14" fillId="0" borderId="38" xfId="1" applyFont="1" applyBorder="1" applyAlignment="1">
      <alignment horizontal="center" vertical="center"/>
    </xf>
    <xf numFmtId="177" fontId="14" fillId="0" borderId="38" xfId="1" applyNumberFormat="1" applyFont="1" applyBorder="1" applyAlignment="1">
      <alignment horizontal="center" vertical="center"/>
    </xf>
    <xf numFmtId="41" fontId="14" fillId="0" borderId="38" xfId="1" applyFont="1" applyFill="1" applyBorder="1" applyAlignment="1">
      <alignment horizontal="center" vertical="center"/>
    </xf>
    <xf numFmtId="0" fontId="14" fillId="0" borderId="43" xfId="0" applyFont="1" applyBorder="1" applyAlignment="1">
      <alignment horizontal="left" vertical="center" wrapText="1"/>
    </xf>
    <xf numFmtId="0" fontId="14" fillId="2" borderId="38" xfId="1" applyNumberFormat="1" applyFont="1" applyFill="1" applyBorder="1" applyAlignment="1">
      <alignment horizontal="center" vertical="center"/>
    </xf>
    <xf numFmtId="0" fontId="14" fillId="0" borderId="43" xfId="0" applyFont="1" applyBorder="1" applyAlignment="1">
      <alignment horizontal="left" vertical="center"/>
    </xf>
    <xf numFmtId="0" fontId="14" fillId="0" borderId="52" xfId="0" applyFont="1" applyBorder="1" applyAlignment="1">
      <alignment horizontal="center" vertical="center"/>
    </xf>
    <xf numFmtId="41" fontId="14" fillId="0" borderId="52" xfId="1" applyFont="1" applyBorder="1">
      <alignment vertical="center"/>
    </xf>
    <xf numFmtId="0" fontId="14" fillId="0" borderId="52" xfId="1" applyNumberFormat="1" applyFont="1" applyBorder="1" applyAlignment="1">
      <alignment horizontal="center" vertical="center"/>
    </xf>
    <xf numFmtId="176" fontId="14" fillId="0" borderId="52" xfId="1" applyNumberFormat="1" applyFont="1" applyBorder="1" applyAlignment="1">
      <alignment horizontal="center" vertical="center"/>
    </xf>
    <xf numFmtId="177" fontId="14" fillId="0" borderId="52" xfId="1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8" xfId="1" applyNumberFormat="1" applyFont="1" applyBorder="1" applyAlignment="1">
      <alignment horizontal="center" vertical="center"/>
    </xf>
    <xf numFmtId="176" fontId="14" fillId="0" borderId="38" xfId="1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41" fontId="14" fillId="0" borderId="40" xfId="1" applyFont="1" applyBorder="1">
      <alignment vertical="center"/>
    </xf>
    <xf numFmtId="0" fontId="14" fillId="0" borderId="40" xfId="1" applyNumberFormat="1" applyFont="1" applyBorder="1" applyAlignment="1">
      <alignment horizontal="center" vertical="center"/>
    </xf>
    <xf numFmtId="176" fontId="14" fillId="0" borderId="40" xfId="1" applyNumberFormat="1" applyFont="1" applyBorder="1" applyAlignment="1">
      <alignment horizontal="center" vertical="center"/>
    </xf>
    <xf numFmtId="177" fontId="14" fillId="0" borderId="40" xfId="1" applyNumberFormat="1" applyFont="1" applyBorder="1" applyAlignment="1">
      <alignment horizontal="center" vertical="center"/>
    </xf>
    <xf numFmtId="41" fontId="14" fillId="0" borderId="40" xfId="1" applyFont="1" applyFill="1" applyBorder="1" applyAlignment="1">
      <alignment horizontal="center" vertical="center"/>
    </xf>
    <xf numFmtId="41" fontId="14" fillId="0" borderId="14" xfId="1" applyFont="1" applyBorder="1">
      <alignment vertical="center"/>
    </xf>
    <xf numFmtId="0" fontId="14" fillId="0" borderId="14" xfId="1" applyNumberFormat="1" applyFont="1" applyBorder="1" applyAlignment="1">
      <alignment horizontal="center" vertical="center"/>
    </xf>
    <xf numFmtId="176" fontId="14" fillId="0" borderId="14" xfId="1" applyNumberFormat="1" applyFont="1" applyBorder="1" applyAlignment="1">
      <alignment horizontal="center" vertical="center"/>
    </xf>
    <xf numFmtId="49" fontId="14" fillId="0" borderId="14" xfId="1" applyNumberFormat="1" applyFont="1" applyBorder="1" applyAlignment="1">
      <alignment horizontal="center" vertical="center"/>
    </xf>
    <xf numFmtId="41" fontId="14" fillId="0" borderId="14" xfId="1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41" fontId="14" fillId="0" borderId="37" xfId="1" applyFont="1" applyBorder="1">
      <alignment vertical="center"/>
    </xf>
    <xf numFmtId="0" fontId="14" fillId="0" borderId="37" xfId="1" applyNumberFormat="1" applyFont="1" applyBorder="1" applyAlignment="1">
      <alignment horizontal="center" vertical="center"/>
    </xf>
    <xf numFmtId="176" fontId="14" fillId="0" borderId="37" xfId="1" applyNumberFormat="1" applyFont="1" applyBorder="1" applyAlignment="1">
      <alignment horizontal="center" vertical="center"/>
    </xf>
    <xf numFmtId="49" fontId="14" fillId="0" borderId="37" xfId="1" applyNumberFormat="1" applyFont="1" applyBorder="1" applyAlignment="1">
      <alignment horizontal="center" vertical="center"/>
    </xf>
    <xf numFmtId="41" fontId="14" fillId="0" borderId="37" xfId="1" applyFont="1" applyFill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41" fontId="14" fillId="0" borderId="58" xfId="1" applyFont="1" applyBorder="1">
      <alignment vertical="center"/>
    </xf>
    <xf numFmtId="0" fontId="14" fillId="0" borderId="58" xfId="1" applyNumberFormat="1" applyFont="1" applyBorder="1" applyAlignment="1">
      <alignment horizontal="center" vertical="center"/>
    </xf>
    <xf numFmtId="176" fontId="14" fillId="0" borderId="58" xfId="1" applyNumberFormat="1" applyFont="1" applyBorder="1" applyAlignment="1">
      <alignment horizontal="center" vertical="center"/>
    </xf>
    <xf numFmtId="49" fontId="14" fillId="0" borderId="58" xfId="1" applyNumberFormat="1" applyFont="1" applyBorder="1" applyAlignment="1">
      <alignment horizontal="center" vertical="center"/>
    </xf>
    <xf numFmtId="41" fontId="14" fillId="0" borderId="58" xfId="1" applyFont="1" applyFill="1" applyBorder="1" applyAlignment="1">
      <alignment horizontal="center" vertical="center"/>
    </xf>
    <xf numFmtId="49" fontId="14" fillId="0" borderId="40" xfId="1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4" xfId="1" applyNumberFormat="1" applyFont="1" applyBorder="1" applyAlignment="1">
      <alignment horizontal="center" vertical="center"/>
    </xf>
    <xf numFmtId="41" fontId="14" fillId="0" borderId="4" xfId="1" applyFont="1" applyBorder="1" applyAlignment="1">
      <alignment horizontal="center" vertical="center"/>
    </xf>
    <xf numFmtId="41" fontId="14" fillId="0" borderId="21" xfId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4" xfId="1" applyNumberFormat="1" applyFont="1" applyFill="1" applyBorder="1" applyAlignment="1">
      <alignment horizontal="center" vertical="center" wrapText="1"/>
    </xf>
    <xf numFmtId="41" fontId="14" fillId="2" borderId="4" xfId="1" applyFont="1" applyFill="1" applyBorder="1" applyAlignment="1">
      <alignment horizontal="center" vertical="center"/>
    </xf>
    <xf numFmtId="41" fontId="14" fillId="2" borderId="4" xfId="1" applyFont="1" applyFill="1" applyBorder="1">
      <alignment vertical="center"/>
    </xf>
    <xf numFmtId="41" fontId="14" fillId="2" borderId="21" xfId="1" applyFont="1" applyFill="1" applyBorder="1" applyAlignment="1">
      <alignment horizontal="center" vertical="center"/>
    </xf>
    <xf numFmtId="0" fontId="14" fillId="2" borderId="4" xfId="1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176" fontId="14" fillId="2" borderId="4" xfId="1" applyNumberFormat="1" applyFont="1" applyFill="1" applyBorder="1" applyAlignment="1">
      <alignment horizontal="center" vertical="center"/>
    </xf>
    <xf numFmtId="41" fontId="14" fillId="2" borderId="4" xfId="1" applyNumberFormat="1" applyFont="1" applyFill="1" applyBorder="1">
      <alignment vertical="center"/>
    </xf>
    <xf numFmtId="41" fontId="31" fillId="2" borderId="4" xfId="1" applyNumberFormat="1" applyFont="1" applyFill="1" applyBorder="1">
      <alignment vertical="center"/>
    </xf>
    <xf numFmtId="0" fontId="31" fillId="2" borderId="3" xfId="0" applyFont="1" applyFill="1" applyBorder="1" applyAlignment="1">
      <alignment vertical="center"/>
    </xf>
    <xf numFmtId="0" fontId="31" fillId="2" borderId="4" xfId="0" applyFont="1" applyFill="1" applyBorder="1" applyAlignment="1">
      <alignment horizontal="left" vertical="center"/>
    </xf>
    <xf numFmtId="0" fontId="31" fillId="2" borderId="4" xfId="1" applyNumberFormat="1" applyFont="1" applyFill="1" applyBorder="1" applyAlignment="1">
      <alignment horizontal="center" vertical="center"/>
    </xf>
    <xf numFmtId="176" fontId="31" fillId="2" borderId="4" xfId="1" applyNumberFormat="1" applyFont="1" applyFill="1" applyBorder="1" applyAlignment="1">
      <alignment horizontal="center" vertical="center"/>
    </xf>
    <xf numFmtId="181" fontId="14" fillId="2" borderId="4" xfId="1" applyNumberFormat="1" applyFont="1" applyFill="1" applyBorder="1" applyAlignment="1">
      <alignment horizontal="center" vertical="center"/>
    </xf>
    <xf numFmtId="41" fontId="14" fillId="2" borderId="21" xfId="1" applyNumberFormat="1" applyFont="1" applyFill="1" applyBorder="1">
      <alignment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11" xfId="1" applyNumberFormat="1" applyFont="1" applyFill="1" applyBorder="1" applyAlignment="1">
      <alignment horizontal="center" vertical="center"/>
    </xf>
    <xf numFmtId="176" fontId="14" fillId="2" borderId="11" xfId="1" applyNumberFormat="1" applyFont="1" applyFill="1" applyBorder="1" applyAlignment="1">
      <alignment horizontal="center" vertical="center"/>
    </xf>
    <xf numFmtId="41" fontId="14" fillId="2" borderId="11" xfId="1" applyNumberFormat="1" applyFont="1" applyFill="1" applyBorder="1">
      <alignment vertical="center"/>
    </xf>
    <xf numFmtId="41" fontId="14" fillId="2" borderId="26" xfId="1" applyNumberFormat="1" applyFont="1" applyFill="1" applyBorder="1">
      <alignment vertical="center"/>
    </xf>
    <xf numFmtId="41" fontId="31" fillId="2" borderId="21" xfId="1" applyNumberFormat="1" applyFont="1" applyFill="1" applyBorder="1">
      <alignment vertical="center"/>
    </xf>
    <xf numFmtId="0" fontId="19" fillId="0" borderId="14" xfId="0" applyFont="1" applyBorder="1" applyAlignment="1">
      <alignment horizontal="center" vertical="center" wrapText="1"/>
    </xf>
    <xf numFmtId="41" fontId="14" fillId="0" borderId="37" xfId="1" applyFont="1" applyBorder="1" applyAlignment="1">
      <alignment horizontal="center" vertical="center"/>
    </xf>
    <xf numFmtId="41" fontId="31" fillId="0" borderId="38" xfId="1" applyFont="1" applyBorder="1" applyAlignment="1">
      <alignment horizontal="center" vertical="center"/>
    </xf>
    <xf numFmtId="41" fontId="14" fillId="0" borderId="40" xfId="1" applyFont="1" applyBorder="1" applyAlignment="1">
      <alignment horizontal="center" vertical="center"/>
    </xf>
    <xf numFmtId="41" fontId="14" fillId="0" borderId="27" xfId="1" applyFont="1" applyBorder="1" applyAlignment="1">
      <alignment horizontal="center" vertical="center"/>
    </xf>
    <xf numFmtId="41" fontId="14" fillId="0" borderId="14" xfId="1" applyFont="1" applyBorder="1" applyAlignment="1">
      <alignment horizontal="center" vertical="center"/>
    </xf>
    <xf numFmtId="41" fontId="14" fillId="0" borderId="58" xfId="1" applyFont="1" applyBorder="1" applyAlignment="1">
      <alignment horizontal="center" vertical="center"/>
    </xf>
    <xf numFmtId="41" fontId="19" fillId="0" borderId="37" xfId="1" applyFont="1" applyBorder="1" applyAlignment="1">
      <alignment horizontal="center" vertical="center"/>
    </xf>
    <xf numFmtId="41" fontId="19" fillId="0" borderId="38" xfId="1" applyFont="1" applyBorder="1" applyAlignment="1">
      <alignment horizontal="center" vertical="center"/>
    </xf>
    <xf numFmtId="41" fontId="19" fillId="0" borderId="39" xfId="1" applyFont="1" applyBorder="1" applyAlignment="1">
      <alignment horizontal="center" vertical="center"/>
    </xf>
    <xf numFmtId="41" fontId="16" fillId="0" borderId="33" xfId="0" applyNumberFormat="1" applyFont="1" applyBorder="1" applyAlignment="1">
      <alignment horizontal="center" vertical="center"/>
    </xf>
    <xf numFmtId="41" fontId="16" fillId="0" borderId="34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0" fillId="0" borderId="14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left" vertical="center"/>
    </xf>
    <xf numFmtId="41" fontId="33" fillId="0" borderId="14" xfId="0" applyNumberFormat="1" applyFont="1" applyBorder="1" applyAlignment="1">
      <alignment horizontal="center" vertical="center" wrapText="1"/>
    </xf>
    <xf numFmtId="41" fontId="33" fillId="0" borderId="14" xfId="0" applyNumberFormat="1" applyFont="1" applyBorder="1" applyAlignment="1">
      <alignment horizontal="center" vertical="center"/>
    </xf>
    <xf numFmtId="41" fontId="33" fillId="0" borderId="14" xfId="0" applyNumberFormat="1" applyFont="1" applyBorder="1">
      <alignment vertical="center"/>
    </xf>
    <xf numFmtId="41" fontId="33" fillId="0" borderId="15" xfId="0" applyNumberFormat="1" applyFont="1" applyBorder="1" applyAlignment="1">
      <alignment horizontal="center" vertical="center" wrapText="1"/>
    </xf>
    <xf numFmtId="41" fontId="33" fillId="0" borderId="35" xfId="0" applyNumberFormat="1" applyFont="1" applyBorder="1" applyAlignment="1">
      <alignment horizontal="center" vertical="center" wrapText="1"/>
    </xf>
    <xf numFmtId="41" fontId="33" fillId="0" borderId="35" xfId="0" applyNumberFormat="1" applyFont="1" applyBorder="1" applyAlignment="1">
      <alignment horizontal="center" vertical="center"/>
    </xf>
    <xf numFmtId="41" fontId="33" fillId="0" borderId="35" xfId="0" applyNumberFormat="1" applyFont="1" applyBorder="1">
      <alignment vertical="center"/>
    </xf>
    <xf numFmtId="41" fontId="33" fillId="0" borderId="36" xfId="0" applyNumberFormat="1" applyFont="1" applyBorder="1" applyAlignment="1">
      <alignment horizontal="center" vertical="center" wrapText="1"/>
    </xf>
    <xf numFmtId="0" fontId="34" fillId="0" borderId="33" xfId="0" applyNumberFormat="1" applyFont="1" applyFill="1" applyBorder="1" applyAlignment="1">
      <alignment horizontal="center" vertical="center"/>
    </xf>
    <xf numFmtId="41" fontId="34" fillId="0" borderId="14" xfId="0" applyNumberFormat="1" applyFont="1" applyFill="1" applyBorder="1" applyAlignment="1">
      <alignment horizontal="center" vertical="center" wrapText="1"/>
    </xf>
    <xf numFmtId="41" fontId="34" fillId="0" borderId="14" xfId="1" applyFont="1" applyFill="1" applyBorder="1" applyAlignment="1">
      <alignment horizontal="center" vertical="center" wrapText="1"/>
    </xf>
    <xf numFmtId="41" fontId="34" fillId="0" borderId="14" xfId="1" applyFont="1" applyFill="1" applyBorder="1" applyAlignment="1">
      <alignment horizontal="center" vertical="center"/>
    </xf>
    <xf numFmtId="41" fontId="34" fillId="0" borderId="14" xfId="1" applyFont="1" applyFill="1" applyBorder="1">
      <alignment vertical="center"/>
    </xf>
    <xf numFmtId="41" fontId="35" fillId="0" borderId="15" xfId="1" applyFont="1" applyFill="1" applyBorder="1" applyAlignment="1">
      <alignment horizontal="center" vertical="center" wrapText="1"/>
    </xf>
    <xf numFmtId="0" fontId="34" fillId="0" borderId="34" xfId="0" applyNumberFormat="1" applyFont="1" applyFill="1" applyBorder="1" applyAlignment="1">
      <alignment horizontal="center" vertical="center"/>
    </xf>
    <xf numFmtId="41" fontId="34" fillId="0" borderId="35" xfId="0" applyNumberFormat="1" applyFont="1" applyFill="1" applyBorder="1" applyAlignment="1">
      <alignment horizontal="center" vertical="center" wrapText="1"/>
    </xf>
    <xf numFmtId="41" fontId="34" fillId="0" borderId="35" xfId="1" applyFont="1" applyFill="1" applyBorder="1" applyAlignment="1">
      <alignment horizontal="center" vertical="center" wrapText="1"/>
    </xf>
    <xf numFmtId="41" fontId="34" fillId="0" borderId="35" xfId="1" applyFont="1" applyFill="1" applyBorder="1" applyAlignment="1">
      <alignment horizontal="center" vertical="center"/>
    </xf>
    <xf numFmtId="41" fontId="34" fillId="0" borderId="35" xfId="1" applyNumberFormat="1" applyFont="1" applyFill="1" applyBorder="1">
      <alignment vertical="center"/>
    </xf>
    <xf numFmtId="41" fontId="34" fillId="0" borderId="35" xfId="1" applyFont="1" applyFill="1" applyBorder="1">
      <alignment vertical="center"/>
    </xf>
    <xf numFmtId="41" fontId="35" fillId="0" borderId="36" xfId="1" applyFont="1" applyFill="1" applyBorder="1" applyAlignment="1">
      <alignment horizontal="center" vertical="center" wrapText="1"/>
    </xf>
    <xf numFmtId="41" fontId="12" fillId="0" borderId="14" xfId="1" applyFont="1" applyBorder="1" applyAlignment="1">
      <alignment horizontal="center" vertical="center"/>
    </xf>
    <xf numFmtId="41" fontId="12" fillId="0" borderId="35" xfId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41" fontId="16" fillId="0" borderId="0" xfId="0" applyNumberFormat="1" applyFont="1" applyAlignment="1">
      <alignment horizontal="right" vertical="center"/>
    </xf>
    <xf numFmtId="41" fontId="33" fillId="0" borderId="14" xfId="0" applyNumberFormat="1" applyFont="1" applyBorder="1" applyAlignment="1">
      <alignment vertical="center" wrapText="1"/>
    </xf>
    <xf numFmtId="41" fontId="33" fillId="0" borderId="35" xfId="0" applyNumberFormat="1" applyFont="1" applyBorder="1" applyAlignment="1">
      <alignment vertical="center" wrapText="1"/>
    </xf>
    <xf numFmtId="0" fontId="29" fillId="0" borderId="42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41" fontId="19" fillId="4" borderId="27" xfId="1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left" vertical="center"/>
    </xf>
    <xf numFmtId="0" fontId="20" fillId="4" borderId="60" xfId="0" applyFont="1" applyFill="1" applyBorder="1" applyAlignment="1">
      <alignment horizontal="center" vertical="center"/>
    </xf>
    <xf numFmtId="41" fontId="19" fillId="3" borderId="47" xfId="1" applyFont="1" applyFill="1" applyBorder="1" applyAlignment="1">
      <alignment horizontal="center" vertical="center"/>
    </xf>
    <xf numFmtId="41" fontId="14" fillId="3" borderId="48" xfId="0" applyNumberFormat="1" applyFont="1" applyFill="1" applyBorder="1">
      <alignment vertical="center"/>
    </xf>
    <xf numFmtId="41" fontId="14" fillId="0" borderId="52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0" fontId="31" fillId="0" borderId="3" xfId="0" applyFont="1" applyFill="1" applyBorder="1" applyAlignment="1">
      <alignment vertical="center"/>
    </xf>
    <xf numFmtId="0" fontId="31" fillId="0" borderId="4" xfId="0" applyFont="1" applyFill="1" applyBorder="1" applyAlignment="1">
      <alignment horizontal="left" vertical="center"/>
    </xf>
    <xf numFmtId="0" fontId="31" fillId="0" borderId="4" xfId="1" applyNumberFormat="1" applyFont="1" applyFill="1" applyBorder="1" applyAlignment="1">
      <alignment horizontal="center" vertical="center"/>
    </xf>
    <xf numFmtId="176" fontId="31" fillId="0" borderId="4" xfId="1" applyNumberFormat="1" applyFont="1" applyFill="1" applyBorder="1" applyAlignment="1">
      <alignment horizontal="center" vertical="center"/>
    </xf>
    <xf numFmtId="41" fontId="31" fillId="0" borderId="4" xfId="1" applyNumberFormat="1" applyFont="1" applyFill="1" applyBorder="1">
      <alignment vertical="center"/>
    </xf>
    <xf numFmtId="41" fontId="31" fillId="0" borderId="21" xfId="1" applyNumberFormat="1" applyFont="1" applyFill="1" applyBorder="1">
      <alignment vertical="center"/>
    </xf>
    <xf numFmtId="0" fontId="29" fillId="0" borderId="5" xfId="0" applyFont="1" applyFill="1" applyBorder="1" applyAlignment="1">
      <alignment horizontal="left" vertical="center"/>
    </xf>
    <xf numFmtId="41" fontId="14" fillId="0" borderId="43" xfId="0" applyNumberFormat="1" applyFont="1" applyFill="1" applyBorder="1">
      <alignment vertical="center"/>
    </xf>
    <xf numFmtId="0" fontId="15" fillId="3" borderId="16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5" fillId="3" borderId="16" xfId="0" applyNumberFormat="1" applyFont="1" applyFill="1" applyBorder="1" applyAlignment="1">
      <alignment horizontal="center" vertical="center"/>
    </xf>
    <xf numFmtId="41" fontId="15" fillId="4" borderId="47" xfId="1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left" vertical="center"/>
    </xf>
    <xf numFmtId="41" fontId="15" fillId="4" borderId="13" xfId="0" applyNumberFormat="1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right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left" vertical="center"/>
    </xf>
    <xf numFmtId="0" fontId="14" fillId="4" borderId="4" xfId="1" applyNumberFormat="1" applyFont="1" applyFill="1" applyBorder="1" applyAlignment="1">
      <alignment horizontal="center" vertical="center"/>
    </xf>
    <xf numFmtId="41" fontId="14" fillId="4" borderId="4" xfId="1" applyFont="1" applyFill="1" applyBorder="1" applyAlignment="1">
      <alignment horizontal="center" vertical="center"/>
    </xf>
    <xf numFmtId="41" fontId="14" fillId="4" borderId="4" xfId="1" applyFont="1" applyFill="1" applyBorder="1">
      <alignment vertical="center"/>
    </xf>
    <xf numFmtId="0" fontId="18" fillId="4" borderId="5" xfId="0" applyFont="1" applyFill="1" applyBorder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4" xfId="1" applyNumberFormat="1" applyFont="1" applyFill="1" applyBorder="1" applyAlignment="1">
      <alignment horizontal="center" vertical="center"/>
    </xf>
    <xf numFmtId="41" fontId="14" fillId="3" borderId="4" xfId="1" applyFont="1" applyFill="1" applyBorder="1" applyAlignment="1">
      <alignment horizontal="center" vertical="center"/>
    </xf>
    <xf numFmtId="41" fontId="14" fillId="3" borderId="4" xfId="1" applyFont="1" applyFill="1" applyBorder="1">
      <alignment vertical="center"/>
    </xf>
    <xf numFmtId="41" fontId="19" fillId="3" borderId="4" xfId="1" applyFont="1" applyFill="1" applyBorder="1">
      <alignment vertical="center"/>
    </xf>
    <xf numFmtId="41" fontId="19" fillId="3" borderId="21" xfId="1" applyFont="1" applyFill="1" applyBorder="1">
      <alignment vertical="center"/>
    </xf>
    <xf numFmtId="0" fontId="18" fillId="3" borderId="5" xfId="0" applyFont="1" applyFill="1" applyBorder="1">
      <alignment vertical="center"/>
    </xf>
    <xf numFmtId="0" fontId="15" fillId="4" borderId="3" xfId="0" applyFont="1" applyFill="1" applyBorder="1" applyAlignment="1">
      <alignment horizontal="center" vertical="center"/>
    </xf>
    <xf numFmtId="41" fontId="14" fillId="4" borderId="21" xfId="1" applyFont="1" applyFill="1" applyBorder="1">
      <alignment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8" xfId="1" applyNumberFormat="1" applyFont="1" applyFill="1" applyBorder="1" applyAlignment="1">
      <alignment horizontal="center" vertical="center"/>
    </xf>
    <xf numFmtId="41" fontId="14" fillId="3" borderId="8" xfId="1" applyFont="1" applyFill="1" applyBorder="1" applyAlignment="1">
      <alignment horizontal="center" vertical="center"/>
    </xf>
    <xf numFmtId="41" fontId="14" fillId="3" borderId="8" xfId="1" applyFont="1" applyFill="1" applyBorder="1">
      <alignment vertical="center"/>
    </xf>
    <xf numFmtId="41" fontId="19" fillId="3" borderId="8" xfId="1" applyFont="1" applyFill="1" applyBorder="1">
      <alignment vertical="center"/>
    </xf>
    <xf numFmtId="41" fontId="19" fillId="3" borderId="22" xfId="1" applyFont="1" applyFill="1" applyBorder="1">
      <alignment vertical="center"/>
    </xf>
    <xf numFmtId="0" fontId="18" fillId="3" borderId="9" xfId="0" applyFont="1" applyFill="1" applyBorder="1">
      <alignment vertical="center"/>
    </xf>
    <xf numFmtId="0" fontId="18" fillId="4" borderId="1" xfId="0" applyFont="1" applyFill="1" applyBorder="1" applyAlignment="1">
      <alignment horizontal="left" vertical="center"/>
    </xf>
    <xf numFmtId="0" fontId="17" fillId="4" borderId="1" xfId="1" applyNumberFormat="1" applyFont="1" applyFill="1" applyBorder="1" applyAlignment="1">
      <alignment horizontal="center" vertical="center"/>
    </xf>
    <xf numFmtId="41" fontId="17" fillId="4" borderId="1" xfId="1" applyFont="1" applyFill="1" applyBorder="1" applyAlignment="1">
      <alignment horizontal="center" vertical="center"/>
    </xf>
    <xf numFmtId="41" fontId="18" fillId="4" borderId="1" xfId="1" applyFont="1" applyFill="1" applyBorder="1">
      <alignment vertical="center"/>
    </xf>
    <xf numFmtId="41" fontId="18" fillId="4" borderId="20" xfId="1" applyFont="1" applyFill="1" applyBorder="1">
      <alignment vertical="center"/>
    </xf>
    <xf numFmtId="0" fontId="18" fillId="4" borderId="2" xfId="0" applyFont="1" applyFill="1" applyBorder="1">
      <alignment vertical="center"/>
    </xf>
    <xf numFmtId="0" fontId="18" fillId="4" borderId="5" xfId="0" applyFont="1" applyFill="1" applyBorder="1" applyAlignment="1">
      <alignment horizontal="right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8" xfId="0" applyNumberFormat="1" applyFont="1" applyFill="1" applyBorder="1" applyAlignment="1">
      <alignment horizontal="center" vertical="center"/>
    </xf>
    <xf numFmtId="41" fontId="19" fillId="3" borderId="8" xfId="1" applyNumberFormat="1" applyFont="1" applyFill="1" applyBorder="1">
      <alignment vertical="center"/>
    </xf>
    <xf numFmtId="41" fontId="19" fillId="3" borderId="22" xfId="1" applyNumberFormat="1" applyFont="1" applyFill="1" applyBorder="1">
      <alignment vertical="center"/>
    </xf>
    <xf numFmtId="0" fontId="17" fillId="3" borderId="9" xfId="0" applyFont="1" applyFill="1" applyBorder="1">
      <alignment vertical="center"/>
    </xf>
    <xf numFmtId="41" fontId="15" fillId="3" borderId="30" xfId="0" applyNumberFormat="1" applyFont="1" applyFill="1" applyBorder="1" applyAlignment="1">
      <alignment horizontal="center" vertical="center"/>
    </xf>
    <xf numFmtId="41" fontId="15" fillId="3" borderId="31" xfId="0" applyNumberFormat="1" applyFont="1" applyFill="1" applyBorder="1" applyAlignment="1">
      <alignment horizontal="center" vertical="center"/>
    </xf>
    <xf numFmtId="41" fontId="21" fillId="3" borderId="31" xfId="0" applyNumberFormat="1" applyFont="1" applyFill="1" applyBorder="1" applyAlignment="1">
      <alignment horizontal="center" vertical="center"/>
    </xf>
    <xf numFmtId="41" fontId="21" fillId="3" borderId="31" xfId="0" applyNumberFormat="1" applyFont="1" applyFill="1" applyBorder="1" applyAlignment="1">
      <alignment horizontal="center" vertical="center" wrapText="1"/>
    </xf>
    <xf numFmtId="41" fontId="21" fillId="3" borderId="32" xfId="0" applyNumberFormat="1" applyFont="1" applyFill="1" applyBorder="1" applyAlignment="1">
      <alignment horizontal="center" vertical="center"/>
    </xf>
    <xf numFmtId="0" fontId="35" fillId="5" borderId="30" xfId="0" applyNumberFormat="1" applyFont="1" applyFill="1" applyBorder="1" applyAlignment="1">
      <alignment horizontal="center" vertical="center"/>
    </xf>
    <xf numFmtId="41" fontId="35" fillId="5" borderId="31" xfId="0" applyNumberFormat="1" applyFont="1" applyFill="1" applyBorder="1" applyAlignment="1">
      <alignment horizontal="center" vertical="center"/>
    </xf>
    <xf numFmtId="41" fontId="35" fillId="5" borderId="31" xfId="0" applyNumberFormat="1" applyFont="1" applyFill="1" applyBorder="1" applyAlignment="1">
      <alignment horizontal="center" vertical="center" wrapText="1"/>
    </xf>
    <xf numFmtId="41" fontId="35" fillId="5" borderId="32" xfId="0" applyNumberFormat="1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/>
    </xf>
    <xf numFmtId="0" fontId="31" fillId="2" borderId="38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vertical="center"/>
    </xf>
    <xf numFmtId="0" fontId="14" fillId="0" borderId="41" xfId="0" applyFont="1" applyBorder="1" applyAlignment="1">
      <alignment horizontal="center" vertical="center"/>
    </xf>
    <xf numFmtId="0" fontId="14" fillId="0" borderId="41" xfId="0" applyFont="1" applyBorder="1" applyAlignment="1">
      <alignment vertical="center"/>
    </xf>
    <xf numFmtId="0" fontId="14" fillId="0" borderId="38" xfId="0" applyFont="1" applyBorder="1" applyAlignment="1">
      <alignment horizontal="center" vertical="center"/>
    </xf>
    <xf numFmtId="0" fontId="14" fillId="0" borderId="38" xfId="0" applyFont="1" applyBorder="1" applyAlignment="1">
      <alignment vertical="center"/>
    </xf>
    <xf numFmtId="0" fontId="14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vertical="center"/>
    </xf>
    <xf numFmtId="0" fontId="15" fillId="0" borderId="33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41" fontId="15" fillId="3" borderId="25" xfId="0" applyNumberFormat="1" applyFont="1" applyFill="1" applyBorder="1" applyAlignment="1">
      <alignment horizontal="center" vertical="center"/>
    </xf>
    <xf numFmtId="41" fontId="15" fillId="3" borderId="47" xfId="0" applyNumberFormat="1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41" fontId="15" fillId="0" borderId="61" xfId="0" applyNumberFormat="1" applyFont="1" applyBorder="1" applyAlignment="1">
      <alignment horizontal="left" vertical="center"/>
    </xf>
    <xf numFmtId="41" fontId="15" fillId="0" borderId="37" xfId="0" applyNumberFormat="1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41" fontId="15" fillId="0" borderId="55" xfId="0" applyNumberFormat="1" applyFont="1" applyBorder="1" applyAlignment="1">
      <alignment horizontal="left" vertical="center"/>
    </xf>
    <xf numFmtId="41" fontId="15" fillId="0" borderId="38" xfId="0" applyNumberFormat="1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41" fontId="15" fillId="0" borderId="56" xfId="0" applyNumberFormat="1" applyFont="1" applyBorder="1" applyAlignment="1">
      <alignment horizontal="left" vertical="center"/>
    </xf>
    <xf numFmtId="41" fontId="15" fillId="0" borderId="39" xfId="0" applyNumberFormat="1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 shrinkToFit="1"/>
    </xf>
    <xf numFmtId="0" fontId="27" fillId="0" borderId="0" xfId="0" applyFont="1" applyBorder="1" applyAlignment="1">
      <alignment vertical="center" shrinkToFit="1"/>
    </xf>
    <xf numFmtId="0" fontId="16" fillId="3" borderId="16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21" fillId="0" borderId="45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15" fillId="4" borderId="47" xfId="0" applyFont="1" applyFill="1" applyBorder="1" applyAlignment="1">
      <alignment horizontal="center" vertical="center"/>
    </xf>
    <xf numFmtId="0" fontId="15" fillId="4" borderId="47" xfId="0" applyFont="1" applyFill="1" applyBorder="1" applyAlignment="1">
      <alignment vertical="center"/>
    </xf>
    <xf numFmtId="0" fontId="19" fillId="4" borderId="47" xfId="0" applyFont="1" applyFill="1" applyBorder="1" applyAlignment="1">
      <alignment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3" borderId="47" xfId="0" applyFont="1" applyFill="1" applyBorder="1" applyAlignment="1">
      <alignment vertical="center"/>
    </xf>
    <xf numFmtId="41" fontId="15" fillId="0" borderId="56" xfId="0" applyNumberFormat="1" applyFont="1" applyBorder="1" applyAlignment="1">
      <alignment horizontal="center" vertical="center"/>
    </xf>
    <xf numFmtId="41" fontId="15" fillId="0" borderId="39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178" fontId="15" fillId="0" borderId="52" xfId="0" applyNumberFormat="1" applyFont="1" applyBorder="1" applyAlignment="1">
      <alignment horizontal="right" vertical="center"/>
    </xf>
    <xf numFmtId="178" fontId="15" fillId="0" borderId="38" xfId="0" applyNumberFormat="1" applyFont="1" applyBorder="1" applyAlignment="1">
      <alignment horizontal="right" vertical="center"/>
    </xf>
    <xf numFmtId="179" fontId="21" fillId="3" borderId="47" xfId="0" applyNumberFormat="1" applyFont="1" applyFill="1" applyBorder="1" applyAlignment="1">
      <alignment horizontal="right" vertical="center"/>
    </xf>
    <xf numFmtId="179" fontId="22" fillId="3" borderId="47" xfId="0" applyNumberFormat="1" applyFont="1" applyFill="1" applyBorder="1" applyAlignment="1">
      <alignment horizontal="right" vertical="center"/>
    </xf>
    <xf numFmtId="178" fontId="15" fillId="0" borderId="39" xfId="0" applyNumberFormat="1" applyFont="1" applyBorder="1" applyAlignment="1">
      <alignment horizontal="right" vertical="center"/>
    </xf>
    <xf numFmtId="41" fontId="15" fillId="0" borderId="55" xfId="0" applyNumberFormat="1" applyFont="1" applyBorder="1" applyAlignment="1">
      <alignment horizontal="center" vertical="center"/>
    </xf>
    <xf numFmtId="41" fontId="15" fillId="0" borderId="38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41" fontId="15" fillId="0" borderId="54" xfId="0" applyNumberFormat="1" applyFont="1" applyBorder="1" applyAlignment="1">
      <alignment horizontal="center" vertical="center"/>
    </xf>
    <xf numFmtId="41" fontId="15" fillId="0" borderId="52" xfId="0" applyNumberFormat="1" applyFont="1" applyBorder="1" applyAlignment="1">
      <alignment horizontal="center" vertical="center"/>
    </xf>
    <xf numFmtId="0" fontId="15" fillId="0" borderId="52" xfId="0" applyFont="1" applyBorder="1" applyAlignment="1">
      <alignment vertical="center"/>
    </xf>
    <xf numFmtId="0" fontId="16" fillId="0" borderId="52" xfId="0" applyFont="1" applyBorder="1" applyAlignment="1">
      <alignment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41" fontId="14" fillId="4" borderId="11" xfId="1" applyFont="1" applyFill="1" applyBorder="1" applyAlignment="1">
      <alignment horizontal="center" vertical="center"/>
    </xf>
    <xf numFmtId="41" fontId="14" fillId="4" borderId="13" xfId="1" applyFont="1" applyFill="1" applyBorder="1" applyAlignment="1">
      <alignment horizontal="center" vertical="center"/>
    </xf>
    <xf numFmtId="41" fontId="14" fillId="4" borderId="7" xfId="1" applyFont="1" applyFill="1" applyBorder="1" applyAlignment="1">
      <alignment horizontal="center" vertical="center"/>
    </xf>
    <xf numFmtId="41" fontId="14" fillId="4" borderId="28" xfId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4" xfId="1" applyNumberFormat="1" applyFont="1" applyFill="1" applyBorder="1" applyAlignment="1">
      <alignment horizontal="center" vertical="center"/>
    </xf>
    <xf numFmtId="41" fontId="14" fillId="4" borderId="4" xfId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41" fontId="2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41" fontId="5" fillId="0" borderId="0" xfId="0" applyNumberFormat="1" applyFont="1" applyBorder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BreakPreview" zoomScaleNormal="115" zoomScaleSheetLayoutView="100" workbookViewId="0">
      <selection sqref="A1:E1"/>
    </sheetView>
  </sheetViews>
  <sheetFormatPr defaultRowHeight="13.5"/>
  <cols>
    <col min="1" max="1" width="6.44140625" customWidth="1"/>
    <col min="2" max="2" width="4" customWidth="1"/>
    <col min="3" max="3" width="15.6640625" customWidth="1"/>
    <col min="4" max="4" width="13" style="9" customWidth="1"/>
    <col min="5" max="5" width="43.21875" customWidth="1"/>
    <col min="6" max="6" width="11.5546875" bestFit="1" customWidth="1"/>
  </cols>
  <sheetData>
    <row r="1" spans="1:5" ht="52.5" customHeight="1">
      <c r="A1" s="253" t="s">
        <v>198</v>
      </c>
      <c r="B1" s="254"/>
      <c r="C1" s="254"/>
      <c r="D1" s="254"/>
      <c r="E1" s="254"/>
    </row>
    <row r="2" spans="1:5" ht="30" customHeight="1" thickBot="1">
      <c r="A2" s="131"/>
      <c r="B2" s="132"/>
      <c r="C2" s="132"/>
      <c r="D2" s="132"/>
      <c r="E2" s="168" t="s">
        <v>166</v>
      </c>
    </row>
    <row r="3" spans="1:5" ht="35.25" customHeight="1" thickBot="1">
      <c r="A3" s="257" t="s">
        <v>53</v>
      </c>
      <c r="B3" s="258"/>
      <c r="C3" s="259"/>
      <c r="D3" s="172" t="s">
        <v>167</v>
      </c>
      <c r="E3" s="173" t="s">
        <v>54</v>
      </c>
    </row>
    <row r="4" spans="1:5" ht="20.100000000000001" customHeight="1" thickTop="1">
      <c r="A4" s="255" t="s">
        <v>149</v>
      </c>
      <c r="B4" s="262" t="s">
        <v>44</v>
      </c>
      <c r="C4" s="263"/>
      <c r="D4" s="45">
        <f>원가계산서!H3</f>
        <v>0</v>
      </c>
      <c r="E4" s="17"/>
    </row>
    <row r="5" spans="1:5" ht="20.100000000000001" customHeight="1">
      <c r="A5" s="256"/>
      <c r="B5" s="264" t="s">
        <v>45</v>
      </c>
      <c r="C5" s="265"/>
      <c r="D5" s="52">
        <f>원가계산서!H4</f>
        <v>0</v>
      </c>
      <c r="E5" s="18" t="str">
        <f>설계내역서!B7</f>
        <v>시급 x 1.5×연장시간</v>
      </c>
    </row>
    <row r="6" spans="1:5" ht="20.100000000000001" customHeight="1">
      <c r="A6" s="256"/>
      <c r="B6" s="266" t="s">
        <v>134</v>
      </c>
      <c r="C6" s="267"/>
      <c r="D6" s="122">
        <f>원가계산서!H5</f>
        <v>0</v>
      </c>
      <c r="E6" s="21" t="s">
        <v>199</v>
      </c>
    </row>
    <row r="7" spans="1:5" ht="20.100000000000001" customHeight="1">
      <c r="A7" s="256"/>
      <c r="B7" s="260" t="s">
        <v>41</v>
      </c>
      <c r="C7" s="261"/>
      <c r="D7" s="174">
        <f>원가계산서!H6</f>
        <v>0</v>
      </c>
      <c r="E7" s="175"/>
    </row>
    <row r="8" spans="1:5" ht="20.100000000000001" customHeight="1">
      <c r="A8" s="268" t="s">
        <v>43</v>
      </c>
      <c r="B8" s="274" t="s">
        <v>150</v>
      </c>
      <c r="C8" s="251" t="s">
        <v>46</v>
      </c>
      <c r="D8" s="120">
        <f>원가계산서!H7</f>
        <v>0</v>
      </c>
      <c r="E8" s="162" t="str">
        <f>원가계산서!I7</f>
        <v>(기본급+제수당) x (45/1000) × 6(월) × 1조(2명)</v>
      </c>
    </row>
    <row r="9" spans="1:5" ht="20.100000000000001" customHeight="1">
      <c r="A9" s="269"/>
      <c r="B9" s="274"/>
      <c r="C9" s="191" t="s">
        <v>47</v>
      </c>
      <c r="D9" s="52">
        <f>원가계산서!H8</f>
        <v>0</v>
      </c>
      <c r="E9" s="163" t="str">
        <f>원가계산서!I8</f>
        <v>(기본급+제수당) x (33.30/1000) × 6(월) × 1조(2명)</v>
      </c>
    </row>
    <row r="10" spans="1:5" ht="20.100000000000001" customHeight="1">
      <c r="A10" s="269"/>
      <c r="B10" s="274"/>
      <c r="C10" s="191" t="s">
        <v>48</v>
      </c>
      <c r="D10" s="52">
        <f>원가계산서!H9</f>
        <v>0</v>
      </c>
      <c r="E10" s="163" t="str">
        <f>원가계산서!I9</f>
        <v>(기본급+제수당) x (9.3/1000) × 6(월) × 1조(2명)</v>
      </c>
    </row>
    <row r="11" spans="1:5" ht="20.100000000000001" customHeight="1">
      <c r="A11" s="269"/>
      <c r="B11" s="274"/>
      <c r="C11" s="252" t="s">
        <v>49</v>
      </c>
      <c r="D11" s="121">
        <f>원가계산서!H10</f>
        <v>0</v>
      </c>
      <c r="E11" s="163" t="str">
        <f>원가계산서!I10</f>
        <v>(기본급+제수당) x (10.5/1000) × 6(월) × 1조(2명)</v>
      </c>
    </row>
    <row r="12" spans="1:5" ht="20.100000000000001" customHeight="1">
      <c r="A12" s="269"/>
      <c r="B12" s="274"/>
      <c r="C12" s="191" t="s">
        <v>14</v>
      </c>
      <c r="D12" s="52">
        <f>원가계산서!H11</f>
        <v>0</v>
      </c>
      <c r="E12" s="163" t="str">
        <f>원가계산서!I11</f>
        <v>건강보험료 x (10.25/100) × 6(월) × 1조(2명)</v>
      </c>
    </row>
    <row r="13" spans="1:5" ht="19.5" customHeight="1">
      <c r="A13" s="269"/>
      <c r="B13" s="274"/>
      <c r="C13" s="191" t="s">
        <v>0</v>
      </c>
      <c r="D13" s="52">
        <f>원가계산서!H12</f>
        <v>0</v>
      </c>
      <c r="E13" s="163" t="str">
        <f>원가계산서!I12</f>
        <v>(기본급+제수당) x (0.6/1000) × 6(월) × 1조(2명)</v>
      </c>
    </row>
    <row r="14" spans="1:5" ht="19.5" customHeight="1">
      <c r="A14" s="269"/>
      <c r="B14" s="274"/>
      <c r="C14" s="66" t="s">
        <v>63</v>
      </c>
      <c r="D14" s="122">
        <f>원가계산서!H13</f>
        <v>0</v>
      </c>
      <c r="E14" s="164" t="str">
        <f>원가계산서!I13</f>
        <v>(기본급+제수당) x (0.03/1000) × 6(월) × 1조(2명)</v>
      </c>
    </row>
    <row r="15" spans="1:5" ht="19.5" customHeight="1">
      <c r="A15" s="269"/>
      <c r="B15" s="270" t="s">
        <v>151</v>
      </c>
      <c r="C15" s="271"/>
      <c r="D15" s="123">
        <f>원가계산서!H14</f>
        <v>0</v>
      </c>
      <c r="E15" s="43" t="s">
        <v>175</v>
      </c>
    </row>
    <row r="16" spans="1:5" ht="20.100000000000001" customHeight="1">
      <c r="A16" s="269"/>
      <c r="B16" s="272" t="s">
        <v>55</v>
      </c>
      <c r="C16" s="272"/>
      <c r="D16" s="124">
        <f>원가계산서!H15</f>
        <v>0</v>
      </c>
      <c r="E16" s="24" t="s">
        <v>188</v>
      </c>
    </row>
    <row r="17" spans="1:5" ht="21.95" customHeight="1">
      <c r="A17" s="269"/>
      <c r="B17" s="275" t="s">
        <v>56</v>
      </c>
      <c r="C17" s="134" t="s">
        <v>135</v>
      </c>
      <c r="D17" s="120">
        <f>원가계산서!H16</f>
        <v>0</v>
      </c>
      <c r="E17" s="22" t="str">
        <f>원가계산서!I16</f>
        <v>6(월)/12(월) × 현대뉴카운티 25인승
35세이상 운전자 기준 보험료(1년)</v>
      </c>
    </row>
    <row r="18" spans="1:5" ht="21.95" customHeight="1">
      <c r="A18" s="269"/>
      <c r="B18" s="276"/>
      <c r="C18" s="165" t="s">
        <v>177</v>
      </c>
      <c r="D18" s="125">
        <f>원가계산서!H17</f>
        <v>0</v>
      </c>
      <c r="E18" s="40" t="str">
        <f>원가계산서!I17</f>
        <v>6(월)/12(월) × 연자동차세</v>
      </c>
    </row>
    <row r="19" spans="1:5" ht="21.95" customHeight="1">
      <c r="A19" s="269"/>
      <c r="B19" s="277"/>
      <c r="C19" s="166" t="s">
        <v>176</v>
      </c>
      <c r="D19" s="122">
        <f>원가계산서!H18</f>
        <v>0</v>
      </c>
      <c r="E19" s="21" t="str">
        <f>원가계산서!I18</f>
        <v>6(월)/12(월) × 연검사료</v>
      </c>
    </row>
    <row r="20" spans="1:5" ht="19.5" customHeight="1">
      <c r="A20" s="269"/>
      <c r="B20" s="133" t="s">
        <v>109</v>
      </c>
      <c r="C20" s="167" t="s">
        <v>178</v>
      </c>
      <c r="D20" s="124">
        <f>설계내역서!F29</f>
        <v>0</v>
      </c>
      <c r="E20" s="24" t="str">
        <f>설계내역서!B29</f>
        <v>230,000원×1.94회</v>
      </c>
    </row>
    <row r="21" spans="1:5" ht="20.100000000000001" customHeight="1">
      <c r="A21" s="269"/>
      <c r="B21" s="260" t="s">
        <v>41</v>
      </c>
      <c r="C21" s="273"/>
      <c r="D21" s="174">
        <f>원가계산서!H20</f>
        <v>0</v>
      </c>
      <c r="E21" s="176"/>
    </row>
    <row r="22" spans="1:5" ht="20.100000000000001" customHeight="1">
      <c r="A22" s="281" t="s">
        <v>34</v>
      </c>
      <c r="B22" s="282"/>
      <c r="C22" s="283"/>
      <c r="D22" s="126">
        <f>원가계산서!F21</f>
        <v>0</v>
      </c>
      <c r="E22" s="44" t="s">
        <v>26</v>
      </c>
    </row>
    <row r="23" spans="1:5" ht="20.100000000000001" customHeight="1">
      <c r="A23" s="284" t="s">
        <v>35</v>
      </c>
      <c r="B23" s="285"/>
      <c r="C23" s="286"/>
      <c r="D23" s="127">
        <f>원가계산서!F22</f>
        <v>0</v>
      </c>
      <c r="E23" s="188" t="s">
        <v>191</v>
      </c>
    </row>
    <row r="24" spans="1:5" ht="20.100000000000001" customHeight="1">
      <c r="A24" s="284" t="s">
        <v>36</v>
      </c>
      <c r="B24" s="285"/>
      <c r="C24" s="286"/>
      <c r="D24" s="127">
        <f>원가계산서!F23</f>
        <v>0</v>
      </c>
      <c r="E24" s="26" t="s">
        <v>30</v>
      </c>
    </row>
    <row r="25" spans="1:5" ht="20.100000000000001" customHeight="1">
      <c r="A25" s="284" t="s">
        <v>37</v>
      </c>
      <c r="B25" s="285"/>
      <c r="C25" s="286"/>
      <c r="D25" s="127">
        <f>원가계산서!F24</f>
        <v>0</v>
      </c>
      <c r="E25" s="26" t="s">
        <v>32</v>
      </c>
    </row>
    <row r="26" spans="1:5" ht="20.100000000000001" customHeight="1">
      <c r="A26" s="284" t="s">
        <v>38</v>
      </c>
      <c r="B26" s="285"/>
      <c r="C26" s="286"/>
      <c r="D26" s="127">
        <f>원가계산서!F25</f>
        <v>0</v>
      </c>
      <c r="E26" s="26" t="s">
        <v>110</v>
      </c>
    </row>
    <row r="27" spans="1:5" ht="20.100000000000001" customHeight="1" thickBot="1">
      <c r="A27" s="287" t="s">
        <v>39</v>
      </c>
      <c r="B27" s="288"/>
      <c r="C27" s="289"/>
      <c r="D27" s="128">
        <f>D26*0.1</f>
        <v>0</v>
      </c>
      <c r="E27" s="27" t="s">
        <v>28</v>
      </c>
    </row>
    <row r="28" spans="1:5" ht="36.75" customHeight="1" thickTop="1" thickBot="1">
      <c r="A28" s="278" t="s">
        <v>40</v>
      </c>
      <c r="B28" s="279"/>
      <c r="C28" s="280"/>
      <c r="D28" s="177">
        <f>ROUNDDOWN(D26+D27,-4)</f>
        <v>0</v>
      </c>
      <c r="E28" s="178" t="s">
        <v>152</v>
      </c>
    </row>
  </sheetData>
  <mergeCells count="20">
    <mergeCell ref="A28:C28"/>
    <mergeCell ref="A22:C22"/>
    <mergeCell ref="A23:C23"/>
    <mergeCell ref="A24:C24"/>
    <mergeCell ref="A25:C25"/>
    <mergeCell ref="A26:C26"/>
    <mergeCell ref="A27:C27"/>
    <mergeCell ref="A8:A21"/>
    <mergeCell ref="B15:C15"/>
    <mergeCell ref="B16:C16"/>
    <mergeCell ref="B21:C21"/>
    <mergeCell ref="B8:B14"/>
    <mergeCell ref="B17:B19"/>
    <mergeCell ref="A1:E1"/>
    <mergeCell ref="A4:A7"/>
    <mergeCell ref="A3:C3"/>
    <mergeCell ref="B7:C7"/>
    <mergeCell ref="B4:C4"/>
    <mergeCell ref="B5:C5"/>
    <mergeCell ref="B6:C6"/>
  </mergeCells>
  <phoneticPr fontId="2" type="noConversion"/>
  <printOptions horizontalCentered="1" verticalCentered="1"/>
  <pageMargins left="0.39370078740157483" right="0.39370078740157483" top="0.16" bottom="0.31" header="0.22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topLeftCell="A7" zoomScaleSheetLayoutView="100" workbookViewId="0">
      <selection activeCell="D18" sqref="D18"/>
    </sheetView>
  </sheetViews>
  <sheetFormatPr defaultRowHeight="18.95" customHeight="1"/>
  <cols>
    <col min="1" max="1" width="4.88671875" style="3" customWidth="1"/>
    <col min="2" max="2" width="3.44140625" style="6" customWidth="1"/>
    <col min="3" max="3" width="15.88671875" style="4" customWidth="1"/>
    <col min="4" max="4" width="10.21875" style="4" customWidth="1"/>
    <col min="5" max="5" width="8" style="5" customWidth="1"/>
    <col min="6" max="6" width="6" style="4" bestFit="1" customWidth="1"/>
    <col min="7" max="7" width="3.88671875" style="4" customWidth="1"/>
    <col min="8" max="8" width="20.44140625" style="4" bestFit="1" customWidth="1"/>
    <col min="9" max="9" width="41.5546875" style="4" customWidth="1"/>
    <col min="10" max="16384" width="8.88671875" style="3"/>
  </cols>
  <sheetData>
    <row r="1" spans="1:9" ht="64.5" customHeight="1" thickBot="1">
      <c r="A1" s="290" t="s">
        <v>197</v>
      </c>
      <c r="B1" s="291"/>
      <c r="C1" s="291"/>
      <c r="D1" s="291"/>
      <c r="E1" s="291"/>
      <c r="F1" s="291"/>
      <c r="G1" s="291"/>
      <c r="H1" s="291"/>
      <c r="I1" s="291"/>
    </row>
    <row r="2" spans="1:9" ht="40.5" customHeight="1" thickBot="1">
      <c r="A2" s="257" t="s">
        <v>53</v>
      </c>
      <c r="B2" s="258"/>
      <c r="C2" s="292"/>
      <c r="D2" s="189" t="s">
        <v>16</v>
      </c>
      <c r="E2" s="192" t="s">
        <v>25</v>
      </c>
      <c r="F2" s="189" t="s">
        <v>51</v>
      </c>
      <c r="G2" s="189" t="s">
        <v>52</v>
      </c>
      <c r="H2" s="189" t="s">
        <v>148</v>
      </c>
      <c r="I2" s="173" t="s">
        <v>54</v>
      </c>
    </row>
    <row r="3" spans="1:9" ht="30" customHeight="1" thickTop="1">
      <c r="A3" s="296" t="s">
        <v>149</v>
      </c>
      <c r="B3" s="262" t="s">
        <v>44</v>
      </c>
      <c r="C3" s="263"/>
      <c r="D3" s="45">
        <f>설계내역서!I6</f>
        <v>0</v>
      </c>
      <c r="E3" s="46">
        <f>설계내역서!C6</f>
        <v>1</v>
      </c>
      <c r="F3" s="45" t="s">
        <v>10</v>
      </c>
      <c r="G3" s="47">
        <v>6</v>
      </c>
      <c r="H3" s="48">
        <f>D3*E3*G3</f>
        <v>0</v>
      </c>
      <c r="I3" s="49"/>
    </row>
    <row r="4" spans="1:9" ht="30" customHeight="1">
      <c r="A4" s="297"/>
      <c r="B4" s="264" t="s">
        <v>45</v>
      </c>
      <c r="C4" s="265"/>
      <c r="D4" s="50">
        <f>설계내역서!I7</f>
        <v>0</v>
      </c>
      <c r="E4" s="51">
        <v>1</v>
      </c>
      <c r="F4" s="52" t="s">
        <v>11</v>
      </c>
      <c r="G4" s="53">
        <v>6</v>
      </c>
      <c r="H4" s="54">
        <f>ROUND(D4*E4*G4,0)</f>
        <v>0</v>
      </c>
      <c r="I4" s="55"/>
    </row>
    <row r="5" spans="1:9" ht="30" customHeight="1">
      <c r="A5" s="297"/>
      <c r="B5" s="306" t="s">
        <v>134</v>
      </c>
      <c r="C5" s="307"/>
      <c r="D5" s="50">
        <f>설계내역서!I8</f>
        <v>0</v>
      </c>
      <c r="E5" s="56">
        <f>설계내역서!C8</f>
        <v>0.83</v>
      </c>
      <c r="F5" s="52" t="s">
        <v>12</v>
      </c>
      <c r="G5" s="53">
        <v>6</v>
      </c>
      <c r="H5" s="54">
        <f>D5*E5*G5</f>
        <v>0</v>
      </c>
      <c r="I5" s="57"/>
    </row>
    <row r="6" spans="1:9" ht="30" customHeight="1" thickBot="1">
      <c r="A6" s="298"/>
      <c r="B6" s="301" t="s">
        <v>41</v>
      </c>
      <c r="C6" s="302"/>
      <c r="D6" s="303"/>
      <c r="E6" s="303"/>
      <c r="F6" s="303"/>
      <c r="G6" s="303"/>
      <c r="H6" s="193">
        <f>SUM(H3:H5)</f>
        <v>0</v>
      </c>
      <c r="I6" s="194"/>
    </row>
    <row r="7" spans="1:9" ht="30" customHeight="1">
      <c r="A7" s="296" t="s">
        <v>147</v>
      </c>
      <c r="B7" s="304" t="s">
        <v>144</v>
      </c>
      <c r="C7" s="58" t="s">
        <v>46</v>
      </c>
      <c r="D7" s="59">
        <f>설계내역서!I13</f>
        <v>0</v>
      </c>
      <c r="E7" s="60">
        <v>1</v>
      </c>
      <c r="F7" s="61" t="s">
        <v>10</v>
      </c>
      <c r="G7" s="62">
        <v>6</v>
      </c>
      <c r="H7" s="179">
        <f>D7*E7*G7</f>
        <v>0</v>
      </c>
      <c r="I7" s="20" t="s">
        <v>168</v>
      </c>
    </row>
    <row r="8" spans="1:9" s="15" customFormat="1" ht="30" customHeight="1">
      <c r="A8" s="299"/>
      <c r="B8" s="305"/>
      <c r="C8" s="63" t="s">
        <v>98</v>
      </c>
      <c r="D8" s="50">
        <f>설계내역서!I14</f>
        <v>0</v>
      </c>
      <c r="E8" s="64">
        <v>1</v>
      </c>
      <c r="F8" s="65" t="s">
        <v>99</v>
      </c>
      <c r="G8" s="53">
        <v>6</v>
      </c>
      <c r="H8" s="54">
        <f>D8*E8*G8</f>
        <v>0</v>
      </c>
      <c r="I8" s="19" t="s">
        <v>169</v>
      </c>
    </row>
    <row r="9" spans="1:9" ht="30" customHeight="1">
      <c r="A9" s="299"/>
      <c r="B9" s="305"/>
      <c r="C9" s="63" t="s">
        <v>100</v>
      </c>
      <c r="D9" s="50">
        <f>설계내역서!I15</f>
        <v>0</v>
      </c>
      <c r="E9" s="64">
        <v>1</v>
      </c>
      <c r="F9" s="65" t="s">
        <v>99</v>
      </c>
      <c r="G9" s="53">
        <v>6</v>
      </c>
      <c r="H9" s="54">
        <f t="shared" ref="H9:H12" si="0">D9*E9*G9</f>
        <v>0</v>
      </c>
      <c r="I9" s="19" t="s">
        <v>170</v>
      </c>
    </row>
    <row r="10" spans="1:9" ht="30" customHeight="1">
      <c r="A10" s="299"/>
      <c r="B10" s="305"/>
      <c r="C10" s="63" t="s">
        <v>101</v>
      </c>
      <c r="D10" s="50">
        <f>설계내역서!I17</f>
        <v>0</v>
      </c>
      <c r="E10" s="64">
        <v>1</v>
      </c>
      <c r="F10" s="65" t="s">
        <v>99</v>
      </c>
      <c r="G10" s="53">
        <v>6</v>
      </c>
      <c r="H10" s="54">
        <f t="shared" si="0"/>
        <v>0</v>
      </c>
      <c r="I10" s="19" t="s">
        <v>171</v>
      </c>
    </row>
    <row r="11" spans="1:9" s="15" customFormat="1" ht="30" customHeight="1">
      <c r="A11" s="299"/>
      <c r="B11" s="305"/>
      <c r="C11" s="63" t="s">
        <v>102</v>
      </c>
      <c r="D11" s="50">
        <f>설계내역서!I16</f>
        <v>0</v>
      </c>
      <c r="E11" s="64">
        <v>1</v>
      </c>
      <c r="F11" s="65" t="s">
        <v>99</v>
      </c>
      <c r="G11" s="53">
        <v>6</v>
      </c>
      <c r="H11" s="54">
        <f t="shared" si="0"/>
        <v>0</v>
      </c>
      <c r="I11" s="19" t="s">
        <v>172</v>
      </c>
    </row>
    <row r="12" spans="1:9" ht="30" customHeight="1">
      <c r="A12" s="299"/>
      <c r="B12" s="305"/>
      <c r="C12" s="63" t="s">
        <v>0</v>
      </c>
      <c r="D12" s="50">
        <f>설계내역서!I18</f>
        <v>0</v>
      </c>
      <c r="E12" s="64">
        <v>1</v>
      </c>
      <c r="F12" s="65" t="s">
        <v>10</v>
      </c>
      <c r="G12" s="53">
        <v>6</v>
      </c>
      <c r="H12" s="54">
        <f t="shared" si="0"/>
        <v>0</v>
      </c>
      <c r="I12" s="19" t="s">
        <v>173</v>
      </c>
    </row>
    <row r="13" spans="1:9" ht="30" customHeight="1">
      <c r="A13" s="299"/>
      <c r="B13" s="305"/>
      <c r="C13" s="66" t="s">
        <v>63</v>
      </c>
      <c r="D13" s="67">
        <f>설계내역서!I19</f>
        <v>0</v>
      </c>
      <c r="E13" s="68">
        <v>1</v>
      </c>
      <c r="F13" s="69" t="s">
        <v>64</v>
      </c>
      <c r="G13" s="70">
        <v>6</v>
      </c>
      <c r="H13" s="71">
        <f>D13*E13*G13</f>
        <v>0</v>
      </c>
      <c r="I13" s="21" t="s">
        <v>174</v>
      </c>
    </row>
    <row r="14" spans="1:9" ht="30" customHeight="1">
      <c r="A14" s="299"/>
      <c r="B14" s="308" t="s">
        <v>129</v>
      </c>
      <c r="C14" s="309"/>
      <c r="D14" s="72">
        <f>설계내역서!E25</f>
        <v>0</v>
      </c>
      <c r="E14" s="73">
        <v>1</v>
      </c>
      <c r="F14" s="74" t="s">
        <v>130</v>
      </c>
      <c r="G14" s="75" t="s">
        <v>131</v>
      </c>
      <c r="H14" s="76">
        <f>D14*E14*G14</f>
        <v>0</v>
      </c>
      <c r="I14" s="23" t="s">
        <v>133</v>
      </c>
    </row>
    <row r="15" spans="1:9" ht="30" customHeight="1">
      <c r="A15" s="299"/>
      <c r="B15" s="308" t="s">
        <v>55</v>
      </c>
      <c r="C15" s="309"/>
      <c r="D15" s="72">
        <f>설계내역서!E26</f>
        <v>0</v>
      </c>
      <c r="E15" s="73">
        <v>0.5</v>
      </c>
      <c r="F15" s="74" t="s">
        <v>23</v>
      </c>
      <c r="G15" s="75" t="s">
        <v>42</v>
      </c>
      <c r="H15" s="76">
        <f t="shared" ref="H15:H19" si="1">D15*E15</f>
        <v>0</v>
      </c>
      <c r="I15" s="24" t="s">
        <v>186</v>
      </c>
    </row>
    <row r="16" spans="1:9" ht="30" customHeight="1">
      <c r="A16" s="299"/>
      <c r="B16" s="310" t="s">
        <v>31</v>
      </c>
      <c r="C16" s="77" t="s">
        <v>136</v>
      </c>
      <c r="D16" s="78">
        <f>설계내역서!E27</f>
        <v>0</v>
      </c>
      <c r="E16" s="79">
        <v>0.5</v>
      </c>
      <c r="F16" s="80" t="s">
        <v>119</v>
      </c>
      <c r="G16" s="81"/>
      <c r="H16" s="82">
        <f t="shared" si="1"/>
        <v>0</v>
      </c>
      <c r="I16" s="41" t="s">
        <v>137</v>
      </c>
    </row>
    <row r="17" spans="1:9" ht="30" customHeight="1">
      <c r="A17" s="299"/>
      <c r="B17" s="311"/>
      <c r="C17" s="83" t="s">
        <v>72</v>
      </c>
      <c r="D17" s="84"/>
      <c r="E17" s="85">
        <v>0.5</v>
      </c>
      <c r="F17" s="86" t="s">
        <v>73</v>
      </c>
      <c r="G17" s="87"/>
      <c r="H17" s="88">
        <f>D17*E17</f>
        <v>0</v>
      </c>
      <c r="I17" s="40" t="s">
        <v>127</v>
      </c>
    </row>
    <row r="18" spans="1:9" ht="30" customHeight="1">
      <c r="A18" s="299"/>
      <c r="B18" s="304"/>
      <c r="C18" s="66" t="s">
        <v>74</v>
      </c>
      <c r="D18" s="67"/>
      <c r="E18" s="68">
        <v>0.5</v>
      </c>
      <c r="F18" s="69" t="s">
        <v>73</v>
      </c>
      <c r="G18" s="89"/>
      <c r="H18" s="71">
        <f>D18*E18</f>
        <v>0</v>
      </c>
      <c r="I18" s="21" t="s">
        <v>128</v>
      </c>
    </row>
    <row r="19" spans="1:9" ht="30" customHeight="1">
      <c r="A19" s="299"/>
      <c r="B19" s="119" t="s">
        <v>33</v>
      </c>
      <c r="C19" s="42" t="s">
        <v>50</v>
      </c>
      <c r="D19" s="72">
        <f>설계내역서!E29</f>
        <v>0</v>
      </c>
      <c r="E19" s="73">
        <v>1.94</v>
      </c>
      <c r="F19" s="74" t="s">
        <v>23</v>
      </c>
      <c r="G19" s="75" t="s">
        <v>42</v>
      </c>
      <c r="H19" s="76">
        <f t="shared" si="1"/>
        <v>0</v>
      </c>
      <c r="I19" s="24" t="str">
        <f>설계내역서!B29</f>
        <v>230,000원×1.94회</v>
      </c>
    </row>
    <row r="20" spans="1:9" ht="30" customHeight="1" thickBot="1">
      <c r="A20" s="300"/>
      <c r="B20" s="293" t="s">
        <v>41</v>
      </c>
      <c r="C20" s="294"/>
      <c r="D20" s="295"/>
      <c r="E20" s="295"/>
      <c r="F20" s="295"/>
      <c r="G20" s="295"/>
      <c r="H20" s="195">
        <f>SUM(H14:H19,H7:H13)</f>
        <v>0</v>
      </c>
      <c r="I20" s="196"/>
    </row>
    <row r="21" spans="1:9" ht="30" customHeight="1">
      <c r="A21" s="326" t="s">
        <v>34</v>
      </c>
      <c r="B21" s="327"/>
      <c r="C21" s="328"/>
      <c r="D21" s="329"/>
      <c r="E21" s="329"/>
      <c r="F21" s="317">
        <f>SUM(H20,H6)</f>
        <v>0</v>
      </c>
      <c r="G21" s="317"/>
      <c r="H21" s="317"/>
      <c r="I21" s="25" t="s">
        <v>26</v>
      </c>
    </row>
    <row r="22" spans="1:9" ht="30" customHeight="1">
      <c r="A22" s="322" t="s">
        <v>35</v>
      </c>
      <c r="B22" s="323"/>
      <c r="C22" s="324"/>
      <c r="D22" s="325"/>
      <c r="E22" s="325"/>
      <c r="F22" s="318">
        <f>F21*6%</f>
        <v>0</v>
      </c>
      <c r="G22" s="318"/>
      <c r="H22" s="318"/>
      <c r="I22" s="26" t="s">
        <v>27</v>
      </c>
    </row>
    <row r="23" spans="1:9" ht="30" customHeight="1">
      <c r="A23" s="322" t="s">
        <v>36</v>
      </c>
      <c r="B23" s="323"/>
      <c r="C23" s="324"/>
      <c r="D23" s="325"/>
      <c r="E23" s="325"/>
      <c r="F23" s="318">
        <f>SUM(F21:H22)</f>
        <v>0</v>
      </c>
      <c r="G23" s="318"/>
      <c r="H23" s="318"/>
      <c r="I23" s="26" t="s">
        <v>30</v>
      </c>
    </row>
    <row r="24" spans="1:9" ht="30" customHeight="1">
      <c r="A24" s="322" t="s">
        <v>108</v>
      </c>
      <c r="B24" s="323"/>
      <c r="C24" s="324"/>
      <c r="D24" s="325"/>
      <c r="E24" s="325"/>
      <c r="F24" s="318">
        <f>(F23-(H19))*9.920929%</f>
        <v>0</v>
      </c>
      <c r="G24" s="318"/>
      <c r="H24" s="318"/>
      <c r="I24" s="26" t="s">
        <v>32</v>
      </c>
    </row>
    <row r="25" spans="1:9" ht="30" customHeight="1">
      <c r="A25" s="322" t="s">
        <v>38</v>
      </c>
      <c r="B25" s="323"/>
      <c r="C25" s="324"/>
      <c r="D25" s="325"/>
      <c r="E25" s="325"/>
      <c r="F25" s="318">
        <f>F23+F24</f>
        <v>0</v>
      </c>
      <c r="G25" s="318"/>
      <c r="H25" s="318"/>
      <c r="I25" s="26" t="s">
        <v>110</v>
      </c>
    </row>
    <row r="26" spans="1:9" ht="30" customHeight="1" thickBot="1">
      <c r="A26" s="313" t="s">
        <v>39</v>
      </c>
      <c r="B26" s="314"/>
      <c r="C26" s="315"/>
      <c r="D26" s="316"/>
      <c r="E26" s="316"/>
      <c r="F26" s="321">
        <f>F25*10%</f>
        <v>0</v>
      </c>
      <c r="G26" s="321"/>
      <c r="H26" s="321"/>
      <c r="I26" s="27" t="s">
        <v>28</v>
      </c>
    </row>
    <row r="27" spans="1:9" ht="30" customHeight="1" thickTop="1" thickBot="1">
      <c r="A27" s="278" t="s">
        <v>40</v>
      </c>
      <c r="B27" s="279"/>
      <c r="C27" s="312"/>
      <c r="D27" s="312"/>
      <c r="E27" s="312"/>
      <c r="F27" s="319">
        <f>F25+F26</f>
        <v>0</v>
      </c>
      <c r="G27" s="320"/>
      <c r="H27" s="320"/>
      <c r="I27" s="178" t="s">
        <v>29</v>
      </c>
    </row>
    <row r="29" spans="1:9" ht="18.95" customHeight="1">
      <c r="F29" s="16"/>
    </row>
  </sheetData>
  <mergeCells count="27">
    <mergeCell ref="A27:E27"/>
    <mergeCell ref="A26:E26"/>
    <mergeCell ref="F21:H21"/>
    <mergeCell ref="F22:H22"/>
    <mergeCell ref="F23:H23"/>
    <mergeCell ref="F27:H27"/>
    <mergeCell ref="F26:H26"/>
    <mergeCell ref="F25:H25"/>
    <mergeCell ref="F24:H24"/>
    <mergeCell ref="A23:E23"/>
    <mergeCell ref="A24:E24"/>
    <mergeCell ref="A25:E25"/>
    <mergeCell ref="A22:E22"/>
    <mergeCell ref="A21:E21"/>
    <mergeCell ref="A1:I1"/>
    <mergeCell ref="A2:C2"/>
    <mergeCell ref="B3:C3"/>
    <mergeCell ref="B4:C4"/>
    <mergeCell ref="B20:G20"/>
    <mergeCell ref="A3:A6"/>
    <mergeCell ref="A7:A20"/>
    <mergeCell ref="B6:G6"/>
    <mergeCell ref="B7:B13"/>
    <mergeCell ref="B5:C5"/>
    <mergeCell ref="B14:C14"/>
    <mergeCell ref="B16:B18"/>
    <mergeCell ref="B15:C15"/>
  </mergeCells>
  <phoneticPr fontId="2" type="noConversion"/>
  <printOptions horizontalCentered="1" verticalCentered="1"/>
  <pageMargins left="0.39370078740157483" right="0.39370078740157483" top="0.27559055118110237" bottom="0.19685039370078741" header="0.15748031496062992" footer="0.15748031496062992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topLeftCell="A13" zoomScaleNormal="100" zoomScaleSheetLayoutView="85" workbookViewId="0">
      <selection activeCell="J27" sqref="J27"/>
    </sheetView>
  </sheetViews>
  <sheetFormatPr defaultRowHeight="18.95" customHeight="1"/>
  <cols>
    <col min="1" max="1" width="16.5546875" style="4" customWidth="1"/>
    <col min="2" max="2" width="28.5546875" style="4" customWidth="1"/>
    <col min="3" max="3" width="8" style="5" customWidth="1"/>
    <col min="4" max="4" width="6" style="4" bestFit="1" customWidth="1"/>
    <col min="5" max="6" width="12.77734375" style="4" customWidth="1"/>
    <col min="7" max="7" width="9.88671875" style="4" bestFit="1" customWidth="1"/>
    <col min="8" max="8" width="13.44140625" style="4" bestFit="1" customWidth="1"/>
    <col min="9" max="9" width="14.6640625" style="4" bestFit="1" customWidth="1"/>
    <col min="10" max="10" width="56.6640625" style="3" customWidth="1"/>
    <col min="11" max="12" width="0" style="3" hidden="1" customWidth="1"/>
    <col min="13" max="16384" width="8.88671875" style="3"/>
  </cols>
  <sheetData>
    <row r="1" spans="1:23" ht="59.25" customHeight="1">
      <c r="A1" s="338" t="s">
        <v>195</v>
      </c>
      <c r="B1" s="339"/>
      <c r="C1" s="339"/>
      <c r="D1" s="339"/>
      <c r="E1" s="339"/>
      <c r="F1" s="339"/>
      <c r="G1" s="339"/>
      <c r="H1" s="339"/>
      <c r="I1" s="339"/>
      <c r="J1" s="339"/>
    </row>
    <row r="2" spans="1:23" ht="28.5" customHeight="1" thickBot="1">
      <c r="A2" s="169"/>
      <c r="B2" s="170"/>
      <c r="C2" s="170"/>
      <c r="D2" s="170"/>
      <c r="E2" s="170"/>
      <c r="F2" s="170"/>
      <c r="G2" s="170"/>
      <c r="H2" s="170"/>
      <c r="I2" s="170"/>
      <c r="J2" s="171" t="s">
        <v>179</v>
      </c>
    </row>
    <row r="3" spans="1:23" ht="30" customHeight="1">
      <c r="A3" s="197" t="s">
        <v>4</v>
      </c>
      <c r="B3" s="198"/>
      <c r="C3" s="199"/>
      <c r="D3" s="198"/>
      <c r="E3" s="200"/>
      <c r="F3" s="200"/>
      <c r="G3" s="201"/>
      <c r="H3" s="201"/>
      <c r="I3" s="332" t="s">
        <v>165</v>
      </c>
      <c r="J3" s="202"/>
    </row>
    <row r="4" spans="1:23" ht="15" customHeight="1">
      <c r="A4" s="343" t="s">
        <v>5</v>
      </c>
      <c r="B4" s="340" t="s">
        <v>6</v>
      </c>
      <c r="C4" s="341" t="s">
        <v>18</v>
      </c>
      <c r="D4" s="342" t="s">
        <v>3</v>
      </c>
      <c r="E4" s="340" t="s">
        <v>71</v>
      </c>
      <c r="F4" s="340"/>
      <c r="G4" s="330" t="s">
        <v>114</v>
      </c>
      <c r="H4" s="331"/>
      <c r="I4" s="295"/>
      <c r="J4" s="203" t="s">
        <v>7</v>
      </c>
    </row>
    <row r="5" spans="1:23" ht="15" customHeight="1">
      <c r="A5" s="343"/>
      <c r="B5" s="340"/>
      <c r="C5" s="341"/>
      <c r="D5" s="342"/>
      <c r="E5" s="204" t="s">
        <v>8</v>
      </c>
      <c r="F5" s="204" t="s">
        <v>9</v>
      </c>
      <c r="G5" s="205" t="s">
        <v>104</v>
      </c>
      <c r="H5" s="205" t="s">
        <v>105</v>
      </c>
      <c r="I5" s="333"/>
      <c r="J5" s="206" t="s">
        <v>2</v>
      </c>
    </row>
    <row r="6" spans="1:23" ht="20.100000000000001" customHeight="1">
      <c r="A6" s="90" t="s">
        <v>24</v>
      </c>
      <c r="B6" s="91"/>
      <c r="C6" s="92">
        <v>1</v>
      </c>
      <c r="D6" s="93" t="s">
        <v>10</v>
      </c>
      <c r="E6" s="93">
        <f>노무임별단가!F4</f>
        <v>0</v>
      </c>
      <c r="F6" s="93">
        <f>C6*E6</f>
        <v>0</v>
      </c>
      <c r="G6" s="94">
        <f>노무임별단가!F5</f>
        <v>0</v>
      </c>
      <c r="H6" s="93">
        <f>C6*G6</f>
        <v>0</v>
      </c>
      <c r="I6" s="94">
        <f>F6+H6</f>
        <v>0</v>
      </c>
      <c r="J6" s="28"/>
    </row>
    <row r="7" spans="1:23" s="11" customFormat="1" ht="121.5" customHeight="1">
      <c r="A7" s="95" t="s">
        <v>75</v>
      </c>
      <c r="B7" s="96" t="s">
        <v>60</v>
      </c>
      <c r="C7" s="97">
        <v>8.69</v>
      </c>
      <c r="D7" s="98" t="s">
        <v>11</v>
      </c>
      <c r="E7" s="99">
        <f>노무임별단가!G4*1.5</f>
        <v>0</v>
      </c>
      <c r="F7" s="98">
        <f>C7*E7</f>
        <v>0</v>
      </c>
      <c r="G7" s="100">
        <f>노무임별단가!G5*1.5</f>
        <v>0</v>
      </c>
      <c r="H7" s="93">
        <f t="shared" ref="H7:H8" si="0">C7*G7</f>
        <v>0</v>
      </c>
      <c r="I7" s="94">
        <f>F7+H7</f>
        <v>0</v>
      </c>
      <c r="J7" s="29" t="s">
        <v>189</v>
      </c>
      <c r="K7" s="10" t="s">
        <v>76</v>
      </c>
      <c r="L7" s="10" t="s">
        <v>77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7" customFormat="1" ht="20.100000000000001" customHeight="1">
      <c r="A8" s="95" t="s">
        <v>153</v>
      </c>
      <c r="B8" s="96" t="s">
        <v>181</v>
      </c>
      <c r="C8" s="101">
        <v>0.83</v>
      </c>
      <c r="D8" s="98" t="s">
        <v>61</v>
      </c>
      <c r="E8" s="99">
        <f>노무임별단가!H4</f>
        <v>0</v>
      </c>
      <c r="F8" s="98">
        <f>C8*E8</f>
        <v>0</v>
      </c>
      <c r="G8" s="100">
        <f>노무임별단가!H5</f>
        <v>0</v>
      </c>
      <c r="H8" s="93">
        <f t="shared" si="0"/>
        <v>0</v>
      </c>
      <c r="I8" s="94">
        <f>ROUND(F8+H8,0)</f>
        <v>0</v>
      </c>
      <c r="J8" s="30" t="s">
        <v>182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s="7" customFormat="1" ht="20.100000000000001" customHeight="1">
      <c r="A9" s="212" t="s">
        <v>19</v>
      </c>
      <c r="B9" s="213"/>
      <c r="C9" s="214"/>
      <c r="D9" s="215"/>
      <c r="E9" s="216"/>
      <c r="F9" s="217">
        <f>SUM(F6:F8)</f>
        <v>0</v>
      </c>
      <c r="G9" s="218"/>
      <c r="H9" s="217">
        <f>SUM(H6:H8)</f>
        <v>0</v>
      </c>
      <c r="I9" s="218">
        <f>F9+H9</f>
        <v>0</v>
      </c>
      <c r="J9" s="219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s="7" customFormat="1" ht="30" customHeight="1">
      <c r="A10" s="220" t="s">
        <v>17</v>
      </c>
      <c r="B10" s="207"/>
      <c r="C10" s="208"/>
      <c r="D10" s="209"/>
      <c r="E10" s="210"/>
      <c r="F10" s="210"/>
      <c r="G10" s="221"/>
      <c r="H10" s="221"/>
      <c r="I10" s="334" t="s">
        <v>107</v>
      </c>
      <c r="J10" s="211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s="7" customFormat="1" ht="15" customHeight="1">
      <c r="A11" s="343" t="s">
        <v>13</v>
      </c>
      <c r="B11" s="340" t="s">
        <v>6</v>
      </c>
      <c r="C11" s="341" t="s">
        <v>18</v>
      </c>
      <c r="D11" s="342" t="s">
        <v>3</v>
      </c>
      <c r="E11" s="340" t="str">
        <f>E4</f>
        <v>운   전   원</v>
      </c>
      <c r="F11" s="340"/>
      <c r="G11" s="330" t="s">
        <v>114</v>
      </c>
      <c r="H11" s="331"/>
      <c r="I11" s="335"/>
      <c r="J11" s="203" t="s">
        <v>7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s="7" customFormat="1" ht="15" customHeight="1">
      <c r="A12" s="343"/>
      <c r="B12" s="340"/>
      <c r="C12" s="341"/>
      <c r="D12" s="342"/>
      <c r="E12" s="204" t="s">
        <v>8</v>
      </c>
      <c r="F12" s="204" t="s">
        <v>9</v>
      </c>
      <c r="G12" s="205" t="s">
        <v>104</v>
      </c>
      <c r="H12" s="205" t="s">
        <v>105</v>
      </c>
      <c r="I12" s="336"/>
      <c r="J12" s="206" t="s">
        <v>2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s="7" customFormat="1" ht="20.100000000000001" customHeight="1">
      <c r="A13" s="102" t="s">
        <v>124</v>
      </c>
      <c r="B13" s="96" t="s">
        <v>141</v>
      </c>
      <c r="C13" s="101">
        <f>45/1000</f>
        <v>4.4999999999999998E-2</v>
      </c>
      <c r="D13" s="103" t="s">
        <v>10</v>
      </c>
      <c r="E13" s="104">
        <f>SUM(F6+F7+F8)</f>
        <v>0</v>
      </c>
      <c r="F13" s="104">
        <f>INT(C13*E13)</f>
        <v>0</v>
      </c>
      <c r="G13" s="104">
        <f>SUM(H6+H7+H8)</f>
        <v>0</v>
      </c>
      <c r="H13" s="105">
        <f t="shared" ref="H13:H19" si="1">INT(C13*G13)</f>
        <v>0</v>
      </c>
      <c r="I13" s="118">
        <f t="shared" ref="I13:I19" si="2">F13+H13</f>
        <v>0</v>
      </c>
      <c r="J13" s="31" t="s">
        <v>68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s="8" customFormat="1" ht="20.100000000000001" customHeight="1">
      <c r="A14" s="106" t="s">
        <v>125</v>
      </c>
      <c r="B14" s="107" t="s">
        <v>140</v>
      </c>
      <c r="C14" s="108">
        <f>34.95/1000</f>
        <v>3.4950000000000002E-2</v>
      </c>
      <c r="D14" s="109" t="s">
        <v>62</v>
      </c>
      <c r="E14" s="105">
        <f>E13</f>
        <v>0</v>
      </c>
      <c r="F14" s="105">
        <f>C14*E14</f>
        <v>0</v>
      </c>
      <c r="G14" s="105">
        <f>G13</f>
        <v>0</v>
      </c>
      <c r="H14" s="105">
        <f t="shared" si="1"/>
        <v>0</v>
      </c>
      <c r="I14" s="118">
        <f t="shared" si="2"/>
        <v>0</v>
      </c>
      <c r="J14" s="32" t="s">
        <v>80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s="8" customFormat="1" ht="20.100000000000001" customHeight="1">
      <c r="A15" s="106" t="s">
        <v>126</v>
      </c>
      <c r="B15" s="107" t="s">
        <v>139</v>
      </c>
      <c r="C15" s="108">
        <f>9/1000</f>
        <v>8.9999999999999993E-3</v>
      </c>
      <c r="D15" s="109" t="s">
        <v>66</v>
      </c>
      <c r="E15" s="105">
        <f>SUM(F6+F7+F8)</f>
        <v>0</v>
      </c>
      <c r="F15" s="105">
        <f>INT(C15*E15)</f>
        <v>0</v>
      </c>
      <c r="G15" s="105">
        <f>SUM(H6+H7+H8)</f>
        <v>0</v>
      </c>
      <c r="H15" s="105">
        <f>INT(C15*G15)</f>
        <v>0</v>
      </c>
      <c r="I15" s="118">
        <f>F15+H15</f>
        <v>0</v>
      </c>
      <c r="J15" s="32" t="s">
        <v>67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s="8" customFormat="1" ht="20.100000000000001" customHeight="1">
      <c r="A16" s="106" t="s">
        <v>120</v>
      </c>
      <c r="B16" s="107" t="s">
        <v>118</v>
      </c>
      <c r="C16" s="108">
        <f>12.27/100</f>
        <v>0.12269999999999999</v>
      </c>
      <c r="D16" s="109" t="s">
        <v>62</v>
      </c>
      <c r="E16" s="105">
        <f>F14</f>
        <v>0</v>
      </c>
      <c r="F16" s="105">
        <f>INT(C16*E16)</f>
        <v>0</v>
      </c>
      <c r="G16" s="105">
        <f>H14</f>
        <v>0</v>
      </c>
      <c r="H16" s="105">
        <f t="shared" si="1"/>
        <v>0</v>
      </c>
      <c r="I16" s="118">
        <f t="shared" si="2"/>
        <v>0</v>
      </c>
      <c r="J16" s="32" t="s">
        <v>69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s="8" customFormat="1" ht="20.100000000000001" customHeight="1">
      <c r="A17" s="106" t="s">
        <v>121</v>
      </c>
      <c r="B17" s="107" t="s">
        <v>138</v>
      </c>
      <c r="C17" s="108">
        <f>10.5/1000</f>
        <v>1.0500000000000001E-2</v>
      </c>
      <c r="D17" s="109" t="s">
        <v>10</v>
      </c>
      <c r="E17" s="105">
        <f>E15</f>
        <v>0</v>
      </c>
      <c r="F17" s="105">
        <f t="shared" ref="F17:F19" si="3">INT(C17*E17)</f>
        <v>0</v>
      </c>
      <c r="G17" s="105">
        <f>G15</f>
        <v>0</v>
      </c>
      <c r="H17" s="105">
        <f t="shared" si="1"/>
        <v>0</v>
      </c>
      <c r="I17" s="118">
        <f t="shared" si="2"/>
        <v>0</v>
      </c>
      <c r="J17" s="32" t="s">
        <v>79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s="11" customFormat="1" ht="20.100000000000001" customHeight="1">
      <c r="A18" s="106" t="s">
        <v>122</v>
      </c>
      <c r="B18" s="107" t="s">
        <v>142</v>
      </c>
      <c r="C18" s="108">
        <v>5.9999999999999995E-4</v>
      </c>
      <c r="D18" s="109" t="s">
        <v>10</v>
      </c>
      <c r="E18" s="105">
        <f>SUM(F6+F7+F8)</f>
        <v>0</v>
      </c>
      <c r="F18" s="105">
        <f t="shared" si="3"/>
        <v>0</v>
      </c>
      <c r="G18" s="105">
        <f>SUM(H6+H7+H8)</f>
        <v>0</v>
      </c>
      <c r="H18" s="105">
        <f t="shared" si="1"/>
        <v>0</v>
      </c>
      <c r="I18" s="118">
        <f t="shared" si="2"/>
        <v>0</v>
      </c>
      <c r="J18" s="32" t="s">
        <v>70</v>
      </c>
      <c r="M18" s="12"/>
      <c r="N18" s="12" t="s">
        <v>123</v>
      </c>
      <c r="O18" s="12"/>
      <c r="P18" s="12"/>
      <c r="Q18" s="12"/>
      <c r="R18" s="12"/>
      <c r="S18" s="12"/>
      <c r="T18" s="12"/>
      <c r="U18" s="12"/>
      <c r="V18" s="12"/>
      <c r="W18" s="12"/>
    </row>
    <row r="19" spans="1:23" s="11" customFormat="1" ht="20.100000000000001" customHeight="1">
      <c r="A19" s="181" t="s">
        <v>78</v>
      </c>
      <c r="B19" s="182" t="s">
        <v>143</v>
      </c>
      <c r="C19" s="183">
        <v>2.9999999999999997E-5</v>
      </c>
      <c r="D19" s="184" t="s">
        <v>65</v>
      </c>
      <c r="E19" s="185">
        <f>SUM(F6+F7+F8)</f>
        <v>0</v>
      </c>
      <c r="F19" s="185">
        <f t="shared" si="3"/>
        <v>0</v>
      </c>
      <c r="G19" s="185">
        <f>SUM(H6+H7+H8)</f>
        <v>0</v>
      </c>
      <c r="H19" s="185">
        <f t="shared" si="1"/>
        <v>0</v>
      </c>
      <c r="I19" s="186">
        <f t="shared" si="2"/>
        <v>0</v>
      </c>
      <c r="J19" s="187" t="s">
        <v>158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s="7" customFormat="1" ht="20.100000000000001" customHeight="1" thickBot="1">
      <c r="A20" s="222" t="s">
        <v>19</v>
      </c>
      <c r="B20" s="223"/>
      <c r="C20" s="224"/>
      <c r="D20" s="225"/>
      <c r="E20" s="226"/>
      <c r="F20" s="227">
        <f>SUM(F13:F19)</f>
        <v>0</v>
      </c>
      <c r="G20" s="228"/>
      <c r="H20" s="227">
        <f>SUM(H13:H19)</f>
        <v>0</v>
      </c>
      <c r="I20" s="228">
        <f t="shared" ref="I20" si="4">F20+H20</f>
        <v>0</v>
      </c>
      <c r="J20" s="22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s="7" customFormat="1" ht="18.95" customHeight="1" thickBot="1">
      <c r="A21" s="34"/>
      <c r="B21" s="34"/>
      <c r="C21" s="35"/>
      <c r="D21" s="34"/>
      <c r="E21" s="34"/>
      <c r="F21" s="34"/>
      <c r="G21" s="34"/>
      <c r="H21" s="34"/>
      <c r="I21" s="34"/>
      <c r="J21" s="36"/>
    </row>
    <row r="22" spans="1:23" s="7" customFormat="1" ht="30" customHeight="1">
      <c r="A22" s="197" t="s">
        <v>117</v>
      </c>
      <c r="B22" s="230"/>
      <c r="C22" s="231"/>
      <c r="D22" s="232"/>
      <c r="E22" s="233"/>
      <c r="F22" s="233"/>
      <c r="G22" s="234"/>
      <c r="H22" s="234"/>
      <c r="I22" s="337" t="s">
        <v>165</v>
      </c>
      <c r="J22" s="235"/>
    </row>
    <row r="23" spans="1:23" s="7" customFormat="1" ht="18.95" customHeight="1">
      <c r="A23" s="343" t="s">
        <v>15</v>
      </c>
      <c r="B23" s="340" t="s">
        <v>6</v>
      </c>
      <c r="C23" s="341" t="s">
        <v>18</v>
      </c>
      <c r="D23" s="342" t="s">
        <v>3</v>
      </c>
      <c r="E23" s="340" t="str">
        <f>E4</f>
        <v>운   전   원</v>
      </c>
      <c r="F23" s="340"/>
      <c r="G23" s="330" t="s">
        <v>106</v>
      </c>
      <c r="H23" s="331"/>
      <c r="I23" s="335"/>
      <c r="J23" s="236"/>
    </row>
    <row r="24" spans="1:23" s="7" customFormat="1" ht="18.95" customHeight="1">
      <c r="A24" s="343"/>
      <c r="B24" s="340"/>
      <c r="C24" s="341"/>
      <c r="D24" s="342"/>
      <c r="E24" s="204" t="s">
        <v>8</v>
      </c>
      <c r="F24" s="204" t="s">
        <v>9</v>
      </c>
      <c r="G24" s="205" t="s">
        <v>104</v>
      </c>
      <c r="H24" s="205" t="s">
        <v>105</v>
      </c>
      <c r="I24" s="336"/>
      <c r="J24" s="206" t="s">
        <v>2</v>
      </c>
    </row>
    <row r="25" spans="1:23" s="7" customFormat="1" ht="33.75" customHeight="1">
      <c r="A25" s="95" t="s">
        <v>183</v>
      </c>
      <c r="B25" s="96" t="s">
        <v>116</v>
      </c>
      <c r="C25" s="101">
        <v>6</v>
      </c>
      <c r="D25" s="103" t="s">
        <v>10</v>
      </c>
      <c r="E25" s="104"/>
      <c r="F25" s="104">
        <f>C25*E25</f>
        <v>0</v>
      </c>
      <c r="G25" s="111"/>
      <c r="H25" s="111"/>
      <c r="I25" s="111">
        <f t="shared" ref="I25:I30" si="5">F25+H25</f>
        <v>0</v>
      </c>
      <c r="J25" s="37" t="s">
        <v>132</v>
      </c>
    </row>
    <row r="26" spans="1:23" s="7" customFormat="1" ht="20.100000000000001" customHeight="1">
      <c r="A26" s="112" t="s">
        <v>184</v>
      </c>
      <c r="B26" s="113" t="s">
        <v>155</v>
      </c>
      <c r="C26" s="114">
        <v>0.5</v>
      </c>
      <c r="D26" s="115" t="s">
        <v>57</v>
      </c>
      <c r="E26" s="116"/>
      <c r="F26" s="116">
        <f>C26*E26</f>
        <v>0</v>
      </c>
      <c r="G26" s="117"/>
      <c r="H26" s="117"/>
      <c r="I26" s="117">
        <f>F26+H26</f>
        <v>0</v>
      </c>
      <c r="J26" s="33" t="s">
        <v>187</v>
      </c>
    </row>
    <row r="27" spans="1:23" s="7" customFormat="1" ht="20.100000000000001" customHeight="1">
      <c r="A27" s="95" t="s">
        <v>185</v>
      </c>
      <c r="B27" s="96" t="s">
        <v>115</v>
      </c>
      <c r="C27" s="110">
        <v>0.5</v>
      </c>
      <c r="D27" s="103" t="s">
        <v>57</v>
      </c>
      <c r="E27" s="104"/>
      <c r="F27" s="104">
        <f>C27*E27</f>
        <v>0</v>
      </c>
      <c r="G27" s="111"/>
      <c r="H27" s="111"/>
      <c r="I27" s="111">
        <f>F27+H27</f>
        <v>0</v>
      </c>
      <c r="J27" s="31" t="s">
        <v>194</v>
      </c>
    </row>
    <row r="28" spans="1:23" s="7" customFormat="1" ht="20.100000000000001" customHeight="1">
      <c r="A28" s="112" t="s">
        <v>145</v>
      </c>
      <c r="B28" s="113" t="s">
        <v>59</v>
      </c>
      <c r="C28" s="114">
        <v>1</v>
      </c>
      <c r="D28" s="115" t="s">
        <v>22</v>
      </c>
      <c r="E28" s="116"/>
      <c r="F28" s="116">
        <f>SUM(F29:F29)</f>
        <v>0</v>
      </c>
      <c r="G28" s="117"/>
      <c r="H28" s="117"/>
      <c r="I28" s="117">
        <f t="shared" si="5"/>
        <v>0</v>
      </c>
      <c r="J28" s="33"/>
    </row>
    <row r="29" spans="1:23" s="7" customFormat="1" ht="20.100000000000001" customHeight="1">
      <c r="A29" s="112" t="s">
        <v>146</v>
      </c>
      <c r="B29" s="113" t="s">
        <v>193</v>
      </c>
      <c r="C29" s="114">
        <v>1.94</v>
      </c>
      <c r="D29" s="115" t="s">
        <v>57</v>
      </c>
      <c r="E29" s="116"/>
      <c r="F29" s="116">
        <f>C29*E29</f>
        <v>0</v>
      </c>
      <c r="G29" s="117"/>
      <c r="H29" s="117"/>
      <c r="I29" s="117">
        <f t="shared" si="5"/>
        <v>0</v>
      </c>
      <c r="J29" s="38" t="s">
        <v>192</v>
      </c>
    </row>
    <row r="30" spans="1:23" ht="18.95" customHeight="1" thickBot="1">
      <c r="A30" s="222" t="s">
        <v>58</v>
      </c>
      <c r="B30" s="237"/>
      <c r="C30" s="238"/>
      <c r="D30" s="237"/>
      <c r="E30" s="237"/>
      <c r="F30" s="239">
        <f>F27+F28+F26</f>
        <v>0</v>
      </c>
      <c r="G30" s="240"/>
      <c r="H30" s="240"/>
      <c r="I30" s="240">
        <f t="shared" si="5"/>
        <v>0</v>
      </c>
      <c r="J30" s="241"/>
    </row>
  </sheetData>
  <mergeCells count="22">
    <mergeCell ref="A11:A12"/>
    <mergeCell ref="D11:D12"/>
    <mergeCell ref="A23:A24"/>
    <mergeCell ref="C23:C24"/>
    <mergeCell ref="C11:C12"/>
    <mergeCell ref="B23:B24"/>
    <mergeCell ref="G23:H23"/>
    <mergeCell ref="I3:I5"/>
    <mergeCell ref="I10:I12"/>
    <mergeCell ref="I22:I24"/>
    <mergeCell ref="A1:J1"/>
    <mergeCell ref="B11:B12"/>
    <mergeCell ref="C4:C5"/>
    <mergeCell ref="D4:D5"/>
    <mergeCell ref="E4:F4"/>
    <mergeCell ref="E11:F11"/>
    <mergeCell ref="B4:B5"/>
    <mergeCell ref="A4:A5"/>
    <mergeCell ref="G4:H4"/>
    <mergeCell ref="G11:H11"/>
    <mergeCell ref="E23:F23"/>
    <mergeCell ref="D23:D24"/>
  </mergeCells>
  <phoneticPr fontId="2" type="noConversion"/>
  <printOptions horizontalCentered="1"/>
  <pageMargins left="0.39370078740157483" right="0.39370078740157483" top="0.39370078740157483" bottom="0.19685039370078741" header="0.15748031496062992" footer="0.1574803149606299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"/>
  <sheetViews>
    <sheetView zoomScale="85" zoomScaleNormal="85" zoomScaleSheetLayoutView="85" workbookViewId="0">
      <selection activeCell="H4" sqref="H4"/>
    </sheetView>
  </sheetViews>
  <sheetFormatPr defaultRowHeight="13.5"/>
  <cols>
    <col min="1" max="1" width="4.88671875" style="1" customWidth="1"/>
    <col min="2" max="2" width="8.33203125" style="1" bestFit="1" customWidth="1"/>
    <col min="3" max="3" width="6.5546875" style="1" customWidth="1"/>
    <col min="4" max="4" width="12" style="1" customWidth="1"/>
    <col min="5" max="5" width="23.5546875" style="1" customWidth="1"/>
    <col min="6" max="6" width="14.6640625" style="1" customWidth="1"/>
    <col min="7" max="7" width="20.77734375" style="1" customWidth="1"/>
    <col min="8" max="8" width="18.88671875" style="1" customWidth="1"/>
    <col min="9" max="9" width="49.5546875" style="1" bestFit="1" customWidth="1"/>
    <col min="10" max="16384" width="8.88671875" style="1"/>
  </cols>
  <sheetData>
    <row r="1" spans="1:9" ht="64.5" customHeight="1">
      <c r="A1" s="344" t="s">
        <v>196</v>
      </c>
      <c r="B1" s="345"/>
      <c r="C1" s="345"/>
      <c r="D1" s="345"/>
      <c r="E1" s="345"/>
      <c r="F1" s="345"/>
      <c r="G1" s="345"/>
      <c r="H1" s="345"/>
      <c r="I1" s="345"/>
    </row>
    <row r="2" spans="1:9" ht="18" thickBot="1">
      <c r="A2" s="39"/>
      <c r="B2" s="39"/>
      <c r="C2" s="39"/>
      <c r="D2" s="39"/>
      <c r="E2" s="39"/>
      <c r="F2" s="39"/>
      <c r="G2" s="39"/>
      <c r="H2" s="39"/>
      <c r="I2" s="159" t="s">
        <v>163</v>
      </c>
    </row>
    <row r="3" spans="1:9" s="2" customFormat="1" ht="63" customHeight="1">
      <c r="A3" s="242" t="s">
        <v>1</v>
      </c>
      <c r="B3" s="243" t="s">
        <v>161</v>
      </c>
      <c r="C3" s="244" t="s">
        <v>164</v>
      </c>
      <c r="D3" s="244" t="s">
        <v>161</v>
      </c>
      <c r="E3" s="244" t="s">
        <v>95</v>
      </c>
      <c r="F3" s="244" t="s">
        <v>96</v>
      </c>
      <c r="G3" s="245" t="s">
        <v>97</v>
      </c>
      <c r="H3" s="245" t="s">
        <v>157</v>
      </c>
      <c r="I3" s="246" t="s">
        <v>156</v>
      </c>
    </row>
    <row r="4" spans="1:9" ht="74.25" customHeight="1">
      <c r="A4" s="129">
        <v>1</v>
      </c>
      <c r="B4" s="135" t="s">
        <v>94</v>
      </c>
      <c r="C4" s="160">
        <v>1</v>
      </c>
      <c r="D4" s="135" t="s">
        <v>20</v>
      </c>
      <c r="E4" s="136" t="s">
        <v>21</v>
      </c>
      <c r="F4" s="136">
        <f>'기본급 산출'!J4</f>
        <v>0</v>
      </c>
      <c r="G4" s="136">
        <f>'기본급 산출'!I4</f>
        <v>0</v>
      </c>
      <c r="H4" s="137"/>
      <c r="I4" s="138" t="s">
        <v>190</v>
      </c>
    </row>
    <row r="5" spans="1:9" ht="74.25" customHeight="1" thickBot="1">
      <c r="A5" s="130">
        <v>2</v>
      </c>
      <c r="B5" s="139" t="s">
        <v>154</v>
      </c>
      <c r="C5" s="161">
        <v>2</v>
      </c>
      <c r="D5" s="139" t="str">
        <f>B5</f>
        <v>동  승
보호자</v>
      </c>
      <c r="E5" s="140" t="s">
        <v>103</v>
      </c>
      <c r="F5" s="140">
        <f>'기본급 산출'!J5</f>
        <v>0</v>
      </c>
      <c r="G5" s="140">
        <f>'기본급 산출'!I5</f>
        <v>0</v>
      </c>
      <c r="H5" s="141">
        <f>G5*8</f>
        <v>0</v>
      </c>
      <c r="I5" s="142" t="s">
        <v>113</v>
      </c>
    </row>
    <row r="6" spans="1:9">
      <c r="A6" s="346"/>
      <c r="B6" s="346"/>
      <c r="C6" s="346"/>
      <c r="D6" s="346"/>
      <c r="E6" s="346"/>
      <c r="F6" s="346"/>
      <c r="G6" s="346"/>
      <c r="H6" s="346"/>
      <c r="I6" s="346"/>
    </row>
    <row r="7" spans="1:9">
      <c r="A7" s="347"/>
      <c r="B7" s="347"/>
      <c r="C7" s="347"/>
      <c r="D7" s="347"/>
      <c r="E7" s="347"/>
      <c r="F7" s="347"/>
      <c r="G7" s="347"/>
      <c r="H7" s="347"/>
      <c r="I7" s="347"/>
    </row>
  </sheetData>
  <mergeCells count="2">
    <mergeCell ref="A1:I1"/>
    <mergeCell ref="A6:I7"/>
  </mergeCells>
  <phoneticPr fontId="2" type="noConversion"/>
  <printOptions horizontalCentered="1"/>
  <pageMargins left="0.39370078740157483" right="0.39370078740157483" top="0.39370078740157483" bottom="0.39370078740157483" header="0.39370078740157483" footer="0.51181102362204722"/>
  <pageSetup paperSize="9" scale="85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J4" sqref="J4"/>
    </sheetView>
  </sheetViews>
  <sheetFormatPr defaultRowHeight="13.5"/>
  <cols>
    <col min="1" max="1" width="6.5546875" customWidth="1"/>
    <col min="2" max="2" width="11.33203125" customWidth="1"/>
    <col min="3" max="3" width="19.109375" bestFit="1" customWidth="1"/>
    <col min="4" max="4" width="16.5546875" bestFit="1" customWidth="1"/>
    <col min="5" max="5" width="19.109375" bestFit="1" customWidth="1"/>
    <col min="6" max="6" width="20.109375" bestFit="1" customWidth="1"/>
    <col min="7" max="7" width="21.88671875" bestFit="1" customWidth="1"/>
    <col min="8" max="8" width="19" bestFit="1" customWidth="1"/>
    <col min="9" max="9" width="9.5546875" bestFit="1" customWidth="1"/>
    <col min="10" max="11" width="15" bestFit="1" customWidth="1"/>
  </cols>
  <sheetData>
    <row r="1" spans="1:11" ht="36.75" customHeight="1">
      <c r="A1" s="350" t="s">
        <v>180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ht="14.25" customHeight="1" thickBot="1">
      <c r="J2" s="158" t="s">
        <v>162</v>
      </c>
    </row>
    <row r="3" spans="1:11" ht="24.95" customHeight="1">
      <c r="A3" s="247" t="s">
        <v>85</v>
      </c>
      <c r="B3" s="248" t="s">
        <v>161</v>
      </c>
      <c r="C3" s="248" t="s">
        <v>86</v>
      </c>
      <c r="D3" s="248" t="s">
        <v>87</v>
      </c>
      <c r="E3" s="249" t="s">
        <v>88</v>
      </c>
      <c r="F3" s="249" t="s">
        <v>89</v>
      </c>
      <c r="G3" s="249" t="s">
        <v>90</v>
      </c>
      <c r="H3" s="249" t="s">
        <v>91</v>
      </c>
      <c r="I3" s="249" t="s">
        <v>92</v>
      </c>
      <c r="J3" s="250" t="s">
        <v>93</v>
      </c>
    </row>
    <row r="4" spans="1:11" ht="24.95" customHeight="1">
      <c r="A4" s="143">
        <v>1</v>
      </c>
      <c r="B4" s="144" t="s">
        <v>71</v>
      </c>
      <c r="C4" s="145">
        <f>D8</f>
        <v>0</v>
      </c>
      <c r="D4" s="145">
        <f>D9</f>
        <v>0</v>
      </c>
      <c r="E4" s="146">
        <f>노무임별단가!H4</f>
        <v>0</v>
      </c>
      <c r="F4" s="147">
        <f>E4/8</f>
        <v>0</v>
      </c>
      <c r="G4" s="147">
        <f>D10</f>
        <v>0</v>
      </c>
      <c r="H4" s="147">
        <f>G4/87.745%</f>
        <v>0</v>
      </c>
      <c r="I4" s="147">
        <f>MAX(F4,H4)</f>
        <v>0</v>
      </c>
      <c r="J4" s="148">
        <f>ROUNDUP(I4*209,-1)</f>
        <v>0</v>
      </c>
    </row>
    <row r="5" spans="1:11" ht="24.95" customHeight="1" thickBot="1">
      <c r="A5" s="149">
        <v>2</v>
      </c>
      <c r="B5" s="150" t="s">
        <v>114</v>
      </c>
      <c r="C5" s="151">
        <f>D9</f>
        <v>0</v>
      </c>
      <c r="D5" s="151">
        <v>0</v>
      </c>
      <c r="E5" s="152">
        <f>C5</f>
        <v>0</v>
      </c>
      <c r="F5" s="153">
        <f>E5/8</f>
        <v>0</v>
      </c>
      <c r="G5" s="154">
        <f>D10</f>
        <v>0</v>
      </c>
      <c r="H5" s="154">
        <f>ROUND(G5/87.745%,0)</f>
        <v>0</v>
      </c>
      <c r="I5" s="154">
        <f>MAX(F5,H5)</f>
        <v>0</v>
      </c>
      <c r="J5" s="155">
        <f>ROUNDUP(I5*209,-1)</f>
        <v>0</v>
      </c>
    </row>
    <row r="6" spans="1:11" ht="14.25" thickBot="1"/>
    <row r="7" spans="1:11" ht="22.5" customHeight="1">
      <c r="A7" s="351" t="s">
        <v>81</v>
      </c>
      <c r="B7" s="352"/>
      <c r="C7" s="352"/>
      <c r="D7" s="190" t="s">
        <v>82</v>
      </c>
      <c r="E7" s="352" t="s">
        <v>83</v>
      </c>
      <c r="F7" s="355"/>
    </row>
    <row r="8" spans="1:11" ht="22.5" customHeight="1">
      <c r="A8" s="353" t="s">
        <v>111</v>
      </c>
      <c r="B8" s="354"/>
      <c r="C8" s="354"/>
      <c r="D8" s="156"/>
      <c r="E8" s="354" t="s">
        <v>159</v>
      </c>
      <c r="F8" s="356"/>
    </row>
    <row r="9" spans="1:11" ht="22.5" customHeight="1">
      <c r="A9" s="353" t="s">
        <v>112</v>
      </c>
      <c r="B9" s="354"/>
      <c r="C9" s="354"/>
      <c r="D9" s="156"/>
      <c r="E9" s="354" t="s">
        <v>160</v>
      </c>
      <c r="F9" s="356"/>
    </row>
    <row r="10" spans="1:11" ht="22.5" customHeight="1" thickBot="1">
      <c r="A10" s="348" t="s">
        <v>84</v>
      </c>
      <c r="B10" s="349"/>
      <c r="C10" s="349"/>
      <c r="D10" s="157"/>
      <c r="E10" s="349"/>
      <c r="F10" s="357"/>
    </row>
    <row r="15" spans="1:11">
      <c r="D15" s="9"/>
    </row>
    <row r="16" spans="1:11">
      <c r="G16" s="180"/>
    </row>
  </sheetData>
  <mergeCells count="9">
    <mergeCell ref="A10:C10"/>
    <mergeCell ref="A1:K1"/>
    <mergeCell ref="A7:C7"/>
    <mergeCell ref="A8:C8"/>
    <mergeCell ref="A9:C9"/>
    <mergeCell ref="E7:F7"/>
    <mergeCell ref="E8:F8"/>
    <mergeCell ref="E9:F9"/>
    <mergeCell ref="E10:F10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원가계산 총괄표</vt:lpstr>
      <vt:lpstr>원가계산서</vt:lpstr>
      <vt:lpstr>설계내역서</vt:lpstr>
      <vt:lpstr>노무임별단가</vt:lpstr>
      <vt:lpstr>기본급 산출</vt:lpstr>
      <vt:lpstr>노무임별단가!Print_Area</vt:lpstr>
      <vt:lpstr>설계내역서!Print_Area</vt:lpstr>
      <vt:lpstr>'원가계산 총괄표'!Print_Area</vt:lpstr>
      <vt:lpstr>원가계산서!Print_Area</vt:lpstr>
      <vt:lpstr>설계내역서!Print_Titles</vt:lpstr>
      <vt:lpstr>원가계산서!Print_Titles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user</cp:lastModifiedBy>
  <cp:lastPrinted>2022-05-17T11:08:27Z</cp:lastPrinted>
  <dcterms:created xsi:type="dcterms:W3CDTF">2010-11-24T06:29:57Z</dcterms:created>
  <dcterms:modified xsi:type="dcterms:W3CDTF">2022-06-07T00:21:38Z</dcterms:modified>
</cp:coreProperties>
</file>